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PTQO6phNvMmIjt1QhcjAKdMdZbO4AyyimS7JD831IJYK3AD2X7nYnEV87wT1jnEeqt8TJeDizIsLl4MFlpMJqg==" workbookSaltValue="14kbGZcjLkHt754Hi0bu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BF17" i="8" l="1"/>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BF23" i="13"/>
  <c r="K17" i="12"/>
  <c r="BL9" i="11"/>
  <c r="BH21" i="16"/>
  <c r="BF11" i="11"/>
  <c r="X12" i="21"/>
  <c r="T28" i="11"/>
  <c r="T19" i="11"/>
  <c r="R28" i="14"/>
  <c r="R18" i="14"/>
  <c r="S28" i="14"/>
  <c r="V28" i="14" s="1"/>
  <c r="S21" i="14"/>
  <c r="V21" i="14" s="1"/>
  <c r="AP17" i="20"/>
  <c r="BL19" i="11"/>
  <c r="BJ22" i="11"/>
  <c r="BJ18" i="11"/>
  <c r="BG10" i="11"/>
  <c r="BM17" i="11"/>
  <c r="V11" i="16"/>
  <c r="BF21" i="11"/>
  <c r="V25" i="11"/>
  <c r="BF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P17" i="11" s="1"/>
  <c r="BM21" i="11"/>
  <c r="AO25" i="17"/>
  <c r="BH25" i="11"/>
  <c r="BK10" i="11"/>
  <c r="BI21" i="11"/>
  <c r="L10" i="2"/>
  <c r="L28" i="2"/>
  <c r="X21" i="20"/>
  <c r="L16" i="2"/>
  <c r="L17" i="2"/>
  <c r="L18" i="2"/>
  <c r="X16" i="16"/>
  <c r="X23" i="16" s="1"/>
  <c r="AA11" i="16"/>
  <c r="L9" i="2"/>
  <c r="V25" i="16"/>
  <c r="S17" i="17"/>
  <c r="X19" i="16"/>
  <c r="L20" i="2"/>
  <c r="V10" i="16"/>
  <c r="V9" i="16"/>
  <c r="BL12" i="11"/>
  <c r="BK21" i="1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L12" i="2"/>
  <c r="X10" i="21"/>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P25" i="11"/>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<sst xmlns="http://schemas.openxmlformats.org/spreadsheetml/2006/main" count="2682" uniqueCount="1193">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</sst>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SvN9q7QvxC6hQ2JFpREJzNEkBnAcJvycNEBnm/I5DTQP/RwXit34bZ5GY7UalCn4V12NSgfvcCMDqfGGvATIg==" saltValue="KNXTRilwO4vhBqvN9Gyl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24.783950617283949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120</v>
      </c>
      <c r="D17" s="239">
        <f>IF(ISNUMBER(IF(D_I="SI",Datos!I17,Datos!I17+Datos!AC17)),IF(D_I="SI",Datos!I17,Datos!I17+Datos!AC17)," - ")</f>
        <v>120</v>
      </c>
      <c r="E17" s="240">
        <f>IF(ISNUMBER(IF(D_I="SI",Datos!J17,Datos!J17+Datos!AD17)),IF(D_I="SI",Datos!J17,Datos!J17+Datos!AD17)," - ")</f>
        <v>131</v>
      </c>
      <c r="F17" s="240">
        <f>IF(ISNUMBER(IF(D_I="SI",Datos!K17,Datos!K17+Datos!AE17)),IF(D_I="SI",Datos!K17,Datos!K17+Datos!AE17)," - ")</f>
        <v>112</v>
      </c>
      <c r="G17" s="1390" t="str">
        <f>IF(Datos!E17&lt;&gt;"",Datos!E17,Datos!D17)</f>
        <v>04</v>
      </c>
      <c r="H17" s="241">
        <f>IF(ISNUMBER(IF(D_I="SI",Datos!L17,Datos!L17+Datos!AF17)),IF(D_I="SI",Datos!L17,Datos!L17+Datos!AF17)," - ")</f>
        <v>139</v>
      </c>
      <c r="I17" s="1400" t="str">
        <f>IF(ISNUMBER(Datos!AS17/Datos!BM17),Datos!AS17/Datos!BM17," - ")</f>
        <v xml:space="preserve"> - </v>
      </c>
      <c r="J17" s="1401">
        <f>IF(ISNUMBER(Datos!BY17/Datos!CN17),Datos!BY17/Datos!CN17," - ")</f>
        <v>0</v>
      </c>
      <c r="K17" s="244">
        <f t="shared" si="3"/>
        <v>0.15833333333333333</v>
      </c>
      <c r="L17" s="1402">
        <f>IF(ISNUMBER(NºAsuntos!I17/NºAsuntos!G17),(NºAsuntos!I17/NºAsuntos!G17)*11," - ")</f>
        <v>13.651785714285715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2</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v>
      </c>
      <c r="D23" s="1407">
        <f>SUBTOTAL(9,D16:D22)</f>
        <v>121</v>
      </c>
      <c r="E23" s="1408">
        <f>SUBTOTAL(9,E16:E22)</f>
        <v>142</v>
      </c>
      <c r="F23" s="1408">
        <f>SUBTOTAL(9,F16:F22)</f>
        <v>121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123</v>
      </c>
      <c r="D31" s="1435">
        <f>SUBTOTAL(9,D9:D30)</f>
        <v>123</v>
      </c>
      <c r="E31" s="1436">
        <f>SUBTOTAL(9,E9:E30)</f>
        <v>142</v>
      </c>
      <c r="F31" s="1436">
        <f>SUBTOTAL(9,F9:F30)</f>
        <v>121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W5tgi1qTMduIkwEuIJMDFcROtEkkwULYgOx487OGUIzZfbdjJkoAyejCZknElEbKOdZNRT1jkAEdEMXQvOK9w==" saltValue="l09iH9XGiQipeUqtVwfu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n1PqMIoeD2KDoVYj6lN00R3DHEN4CIKzF/mCUGMFYqwUS4pEh+uAwBcXHkpxme3+6RVHMlQ4jImvHJz2Y9Dpg==" saltValue="MB0JtKp1Xsu753tRji5O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8</v>
      </c>
      <c r="T10" s="194">
        <v>0</v>
      </c>
      <c r="U10" s="194">
        <v>1</v>
      </c>
      <c r="V10" s="194">
        <v>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0</v>
      </c>
      <c r="BA10" s="139">
        <f t="shared" si="0"/>
        <v>1</v>
      </c>
      <c r="BB10" s="139">
        <f t="shared" si="0"/>
        <v>7</v>
      </c>
      <c r="BC10" s="135">
        <f t="shared" si="0"/>
        <v>1</v>
      </c>
      <c r="BD10" s="136" t="str">
        <f>IF(ISNUMBER(BA10/AZ10),BA10/AZ10," - ")</f>
        <v xml:space="preserve"> - </v>
      </c>
      <c r="BE10" s="137">
        <f>IF(ISNUMBER(BB10/BA10),BB10/BA10, " - ")</f>
        <v>7</v>
      </c>
      <c r="BF10" s="137">
        <f>IF(ISNUMBER(BC10/BA10),BC10/BA10, " - ")</f>
        <v>1</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342</v>
      </c>
      <c r="J12" s="196">
        <v>115</v>
      </c>
      <c r="K12" s="196">
        <v>133</v>
      </c>
      <c r="L12" s="196">
        <v>324</v>
      </c>
      <c r="M12" s="196">
        <v>52</v>
      </c>
      <c r="N12" s="196">
        <v>66</v>
      </c>
      <c r="O12" s="194">
        <v>54</v>
      </c>
      <c r="P12" s="196">
        <v>22</v>
      </c>
      <c r="Q12" s="196">
        <v>14</v>
      </c>
      <c r="R12" s="196">
        <v>342</v>
      </c>
      <c r="S12" s="196">
        <v>437</v>
      </c>
      <c r="T12" s="196">
        <v>135</v>
      </c>
      <c r="U12" s="196">
        <v>93</v>
      </c>
      <c r="V12" s="196">
        <v>472</v>
      </c>
      <c r="W12" s="196">
        <v>39</v>
      </c>
      <c r="X12" s="202">
        <v>26</v>
      </c>
      <c r="Y12" s="204">
        <v>46</v>
      </c>
      <c r="Z12" s="194">
        <v>24</v>
      </c>
      <c r="AA12" s="194">
        <v>29</v>
      </c>
      <c r="AB12" s="194">
        <v>41</v>
      </c>
      <c r="AC12" s="196">
        <v>0</v>
      </c>
      <c r="AD12" s="196">
        <v>0</v>
      </c>
      <c r="AE12" s="196">
        <v>0</v>
      </c>
      <c r="AF12" s="202">
        <v>0</v>
      </c>
      <c r="AG12" s="215">
        <v>51</v>
      </c>
      <c r="AH12" s="196">
        <v>13</v>
      </c>
      <c r="AI12" s="196">
        <v>12</v>
      </c>
      <c r="AJ12" s="216">
        <v>38</v>
      </c>
      <c r="AK12" s="195">
        <v>0</v>
      </c>
      <c r="AL12" s="196">
        <v>0</v>
      </c>
      <c r="AM12" s="196">
        <v>0</v>
      </c>
      <c r="AN12" s="202">
        <v>0</v>
      </c>
      <c r="AO12" s="283">
        <v>1</v>
      </c>
      <c r="AP12" s="168">
        <v>1</v>
      </c>
      <c r="AQ12" s="168">
        <v>1</v>
      </c>
      <c r="AR12" s="167">
        <v>1</v>
      </c>
      <c r="AS12" s="381" t="s">
        <v>1075</v>
      </c>
      <c r="AT12" s="216"/>
      <c r="AU12" s="215"/>
      <c r="AV12" s="216"/>
      <c r="AW12" s="215"/>
      <c r="AX12" s="216"/>
      <c r="AY12" s="136">
        <f t="shared" si="1"/>
        <v>488</v>
      </c>
      <c r="AZ12" s="137">
        <f t="shared" si="1"/>
        <v>148</v>
      </c>
      <c r="BA12" s="137">
        <f t="shared" si="1"/>
        <v>105</v>
      </c>
      <c r="BB12" s="137">
        <f t="shared" si="1"/>
        <v>510</v>
      </c>
      <c r="BC12" s="135">
        <f>IF(ISNUMBER(X12),X12," - ")</f>
        <v>26</v>
      </c>
      <c r="BD12" s="136">
        <f t="shared" si="2"/>
        <v>0.70945945945945943</v>
      </c>
      <c r="BE12" s="137">
        <f t="shared" si="3"/>
        <v>4.8571428571428568</v>
      </c>
      <c r="BF12" s="137">
        <f t="shared" si="4"/>
        <v>0.24761904761904763</v>
      </c>
      <c r="BG12" s="209">
        <f t="shared" si="5"/>
        <v>6.0571428571428569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344</v>
      </c>
      <c r="J14" s="197">
        <f t="shared" si="7"/>
        <v>115</v>
      </c>
      <c r="K14" s="197">
        <f t="shared" si="7"/>
        <v>133</v>
      </c>
      <c r="L14" s="197">
        <f t="shared" si="7"/>
        <v>326</v>
      </c>
      <c r="M14" s="197">
        <f t="shared" si="7"/>
        <v>52</v>
      </c>
      <c r="N14" s="197">
        <f t="shared" si="7"/>
        <v>66</v>
      </c>
      <c r="O14" s="197">
        <f t="shared" si="7"/>
        <v>54</v>
      </c>
      <c r="P14" s="197">
        <f t="shared" si="7"/>
        <v>22</v>
      </c>
      <c r="Q14" s="197">
        <f t="shared" si="7"/>
        <v>14</v>
      </c>
      <c r="R14" s="197">
        <f t="shared" si="7"/>
        <v>342</v>
      </c>
      <c r="S14" s="197">
        <f t="shared" si="7"/>
        <v>445</v>
      </c>
      <c r="T14" s="197">
        <f t="shared" si="7"/>
        <v>135</v>
      </c>
      <c r="U14" s="197">
        <f t="shared" si="7"/>
        <v>94</v>
      </c>
      <c r="V14" s="197">
        <f t="shared" si="7"/>
        <v>479</v>
      </c>
      <c r="W14" s="197">
        <f t="shared" si="7"/>
        <v>40</v>
      </c>
      <c r="X14" s="197">
        <f t="shared" si="7"/>
        <v>26</v>
      </c>
      <c r="Y14" s="197">
        <f t="shared" si="7"/>
        <v>46</v>
      </c>
      <c r="Z14" s="197">
        <f t="shared" si="7"/>
        <v>24</v>
      </c>
      <c r="AA14" s="197">
        <f t="shared" si="7"/>
        <v>29</v>
      </c>
      <c r="AB14" s="197">
        <f t="shared" si="7"/>
        <v>41</v>
      </c>
      <c r="AC14" s="197">
        <f t="shared" si="7"/>
        <v>0</v>
      </c>
      <c r="AD14" s="197">
        <f t="shared" si="7"/>
        <v>0</v>
      </c>
      <c r="AE14" s="197">
        <f t="shared" si="7"/>
        <v>0</v>
      </c>
      <c r="AF14" s="197">
        <f>SUBTOTAL(9,AF9:AF13)</f>
        <v>0</v>
      </c>
      <c r="AG14" s="197">
        <f t="shared" ref="AG14:AT14" si="8">SUBTOTAL(9,AG8:AG13)</f>
        <v>51</v>
      </c>
      <c r="AH14" s="197">
        <f t="shared" si="8"/>
        <v>13</v>
      </c>
      <c r="AI14" s="197">
        <f t="shared" si="8"/>
        <v>12</v>
      </c>
      <c r="AJ14" s="197">
        <f t="shared" si="8"/>
        <v>38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496</v>
      </c>
      <c r="AZ14" s="197">
        <f>SUBTOTAL(9,AZ8:AZ13)</f>
        <v>148</v>
      </c>
      <c r="BA14" s="197">
        <f>SUBTOTAL(9,BA8:BA13)</f>
        <v>106</v>
      </c>
      <c r="BB14" s="197">
        <f>SUBTOTAL(9,BB8:BB13)</f>
        <v>517</v>
      </c>
      <c r="BC14" s="197">
        <f>SUBTOTAL(9,BC8:BC13)</f>
        <v>27</v>
      </c>
      <c r="BD14" s="219">
        <f>IF(ISNUMBER(BA14/AZ14),BA14/AZ14," - ")</f>
        <v>0.71621621621621623</v>
      </c>
      <c r="BE14" s="220">
        <f>IF(ISNUMBER(BB14/BA14),BB14/BA14, " - ")</f>
        <v>4.8773584905660377</v>
      </c>
      <c r="BF14" s="220">
        <f>IF(ISNUMBER(BC14/BA14),BC14/BA14, " - ")</f>
        <v>0.25471698113207547</v>
      </c>
      <c r="BG14" s="221">
        <f>IF(ISNUMBER((AY14+AZ14)/BA14),(AY14+AZ14)/BA14," - ")</f>
        <v>6.0754716981132075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120</v>
      </c>
      <c r="J17" s="196">
        <v>131</v>
      </c>
      <c r="K17" s="196">
        <v>112</v>
      </c>
      <c r="L17" s="196">
        <v>139</v>
      </c>
      <c r="M17" s="196">
        <v>24</v>
      </c>
      <c r="N17" s="196">
        <v>56</v>
      </c>
      <c r="O17" s="194">
        <v>3</v>
      </c>
      <c r="P17" s="196">
        <v>4</v>
      </c>
      <c r="Q17" s="196">
        <v>3</v>
      </c>
      <c r="R17" s="196">
        <v>8</v>
      </c>
      <c r="S17" s="196">
        <v>118</v>
      </c>
      <c r="T17" s="196">
        <v>161</v>
      </c>
      <c r="U17" s="196">
        <v>157</v>
      </c>
      <c r="V17" s="196">
        <v>122</v>
      </c>
      <c r="W17" s="196">
        <v>40</v>
      </c>
      <c r="X17" s="202">
        <v>79</v>
      </c>
      <c r="Y17" s="215">
        <v>0</v>
      </c>
      <c r="Z17" s="196">
        <v>0</v>
      </c>
      <c r="AA17" s="196">
        <v>0</v>
      </c>
      <c r="AB17" s="196">
        <v>0</v>
      </c>
      <c r="AC17" s="196">
        <v>4</v>
      </c>
      <c r="AD17" s="196">
        <v>3</v>
      </c>
      <c r="AE17" s="196">
        <v>1</v>
      </c>
      <c r="AF17" s="202">
        <v>6</v>
      </c>
      <c r="AG17" s="215">
        <v>0</v>
      </c>
      <c r="AH17" s="196">
        <v>0</v>
      </c>
      <c r="AI17" s="196">
        <v>0</v>
      </c>
      <c r="AJ17" s="216">
        <v>0</v>
      </c>
      <c r="AK17" s="195">
        <v>2</v>
      </c>
      <c r="AL17" s="196">
        <v>1</v>
      </c>
      <c r="AM17" s="196">
        <v>1</v>
      </c>
      <c r="AN17" s="202">
        <v>2</v>
      </c>
      <c r="AO17" s="283">
        <v>1</v>
      </c>
      <c r="AP17" s="168">
        <v>1</v>
      </c>
      <c r="AQ17" s="168">
        <v>1</v>
      </c>
      <c r="AR17" s="168">
        <v>1</v>
      </c>
      <c r="AS17" s="381" t="s">
        <v>650</v>
      </c>
      <c r="AT17" s="216"/>
      <c r="AU17" s="215"/>
      <c r="AV17" s="216"/>
      <c r="AW17" s="215"/>
      <c r="AX17" s="216"/>
      <c r="AY17" s="136">
        <f t="shared" si="10"/>
        <v>118</v>
      </c>
      <c r="AZ17" s="137">
        <f t="shared" si="10"/>
        <v>161</v>
      </c>
      <c r="BA17" s="137">
        <f t="shared" si="10"/>
        <v>157</v>
      </c>
      <c r="BB17" s="137">
        <f t="shared" si="10"/>
        <v>122</v>
      </c>
      <c r="BC17" s="135">
        <f>IF(ISNUMBER(W17),W17," - ")</f>
        <v>40</v>
      </c>
      <c r="BD17" s="136">
        <f t="shared" ref="BD17:BD22" si="12">IF(ISNUMBER(BA17/AZ17),BA17/AZ17," - ")</f>
        <v>0.97515527950310554</v>
      </c>
      <c r="BE17" s="137">
        <f t="shared" ref="BE17:BE22" si="13">IF(ISNUMBER(BB17/BA17),BB17/BA17, " - ")</f>
        <v>0.77707006369426757</v>
      </c>
      <c r="BF17" s="137">
        <f t="shared" ref="BF17:BF22" si="14">IF(ISNUMBER(BC17/BA17),BC17/BA17, " - ")</f>
        <v>0.25477707006369427</v>
      </c>
      <c r="BG17" s="209">
        <f t="shared" si="11"/>
        <v>1.7770700636942676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11</v>
      </c>
      <c r="K18" s="196">
        <v>9</v>
      </c>
      <c r="L18" s="196">
        <v>3</v>
      </c>
      <c r="M18" s="196">
        <v>1</v>
      </c>
      <c r="N18" s="196">
        <v>9</v>
      </c>
      <c r="O18" s="196">
        <v>0</v>
      </c>
      <c r="P18" s="196">
        <v>0</v>
      </c>
      <c r="Q18" s="196">
        <v>0</v>
      </c>
      <c r="R18" s="196">
        <v>0</v>
      </c>
      <c r="S18" s="196">
        <v>9</v>
      </c>
      <c r="T18" s="196">
        <v>11</v>
      </c>
      <c r="U18" s="196">
        <v>10</v>
      </c>
      <c r="V18" s="196">
        <v>10</v>
      </c>
      <c r="W18" s="196">
        <v>4</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11</v>
      </c>
      <c r="BA18" s="139">
        <f t="shared" si="15"/>
        <v>10</v>
      </c>
      <c r="BB18" s="139">
        <f t="shared" si="15"/>
        <v>10</v>
      </c>
      <c r="BC18" s="135">
        <f>IF(ISNUMBER(W18),W18," - ")</f>
        <v>4</v>
      </c>
      <c r="BD18" s="136">
        <f>IF(ISNUMBER(BA18/AZ18),BA18/AZ18," - ")</f>
        <v>0.90909090909090906</v>
      </c>
      <c r="BE18" s="137">
        <f>IF(ISNUMBER(BB18/BA18),BB18/BA18, " - ")</f>
        <v>1</v>
      </c>
      <c r="BF18" s="137">
        <f>IF(ISNUMBER(BC18/BA18),BC18/BA18, " - ")</f>
        <v>0.4</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v>
      </c>
      <c r="J23" s="197">
        <f t="shared" si="21"/>
        <v>142</v>
      </c>
      <c r="K23" s="197">
        <f t="shared" si="21"/>
        <v>121</v>
      </c>
      <c r="L23" s="197">
        <f t="shared" si="21"/>
        <v>142</v>
      </c>
      <c r="M23" s="197">
        <f t="shared" si="21"/>
        <v>25</v>
      </c>
      <c r="N23" s="197">
        <f t="shared" si="21"/>
        <v>65</v>
      </c>
      <c r="O23" s="197">
        <f t="shared" si="21"/>
        <v>3</v>
      </c>
      <c r="P23" s="197">
        <f t="shared" si="21"/>
        <v>4</v>
      </c>
      <c r="Q23" s="197">
        <f t="shared" si="21"/>
        <v>3</v>
      </c>
      <c r="R23" s="197">
        <f t="shared" si="21"/>
        <v>8</v>
      </c>
      <c r="S23" s="197">
        <f t="shared" si="21"/>
        <v>127</v>
      </c>
      <c r="T23" s="197">
        <f t="shared" si="21"/>
        <v>172</v>
      </c>
      <c r="U23" s="197">
        <f t="shared" si="21"/>
        <v>167</v>
      </c>
      <c r="V23" s="197">
        <f t="shared" si="21"/>
        <v>132</v>
      </c>
      <c r="W23" s="197">
        <f t="shared" si="21"/>
        <v>44</v>
      </c>
      <c r="X23" s="197">
        <f t="shared" si="21"/>
        <v>84</v>
      </c>
      <c r="Y23" s="197">
        <f t="shared" si="21"/>
        <v>0</v>
      </c>
      <c r="Z23" s="197">
        <f t="shared" si="21"/>
        <v>0</v>
      </c>
      <c r="AA23" s="197">
        <f t="shared" si="21"/>
        <v>0</v>
      </c>
      <c r="AB23" s="197">
        <f t="shared" si="21"/>
        <v>0</v>
      </c>
      <c r="AC23" s="197">
        <f t="shared" si="21"/>
        <v>4</v>
      </c>
      <c r="AD23" s="197">
        <f t="shared" si="21"/>
        <v>3</v>
      </c>
      <c r="AE23" s="197">
        <f t="shared" si="21"/>
        <v>1</v>
      </c>
      <c r="AF23" s="197">
        <f t="shared" si="21"/>
        <v>6</v>
      </c>
      <c r="AG23" s="197">
        <f t="shared" si="21"/>
        <v>0</v>
      </c>
      <c r="AH23" s="197">
        <f t="shared" si="21"/>
        <v>0</v>
      </c>
      <c r="AI23" s="197">
        <f t="shared" si="21"/>
        <v>0</v>
      </c>
      <c r="AJ23" s="197">
        <f t="shared" si="21"/>
        <v>0</v>
      </c>
      <c r="AK23" s="197">
        <f t="shared" si="21"/>
        <v>2</v>
      </c>
      <c r="AL23" s="197">
        <f t="shared" si="21"/>
        <v>1</v>
      </c>
      <c r="AM23" s="197">
        <f t="shared" si="21"/>
        <v>1</v>
      </c>
      <c r="AN23" s="197">
        <f t="shared" si="21"/>
        <v>2</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127</v>
      </c>
      <c r="AZ23" s="197">
        <f>SUBTOTAL(9,AZ15:AZ22)</f>
        <v>172</v>
      </c>
      <c r="BA23" s="197">
        <f>SUBTOTAL(9,BA15:BA22)</f>
        <v>167</v>
      </c>
      <c r="BB23" s="197">
        <f>SUBTOTAL(9,BB15:BB22)</f>
        <v>132</v>
      </c>
      <c r="BC23" s="197">
        <f>SUBTOTAL(9,BC15:BC22)</f>
        <v>44</v>
      </c>
      <c r="BD23" s="219">
        <f>IF(ISNUMBER(BA23/AZ23),BA23/AZ23," - ")</f>
        <v>0.97093023255813948</v>
      </c>
      <c r="BE23" s="220">
        <f>IF(ISNUMBER(BB23/BA23),BB23/BA23, " - ")</f>
        <v>0.79041916167664672</v>
      </c>
      <c r="BF23" s="220">
        <f>IF(ISNUMBER(BC23/BA23),BC23/BA23, " - ")</f>
        <v>0.26347305389221559</v>
      </c>
      <c r="BG23" s="221">
        <f>IF(ISNUMBER((AY23+AZ23)/BA23),(AY23+AZ23)/BA23," - ")</f>
        <v>1.7904191616766467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465</v>
      </c>
      <c r="J31" s="144">
        <f t="shared" si="36"/>
        <v>257</v>
      </c>
      <c r="K31" s="144">
        <f t="shared" si="36"/>
        <v>254</v>
      </c>
      <c r="L31" s="144">
        <f t="shared" si="36"/>
        <v>468</v>
      </c>
      <c r="M31" s="144">
        <f t="shared" si="36"/>
        <v>77</v>
      </c>
      <c r="N31" s="144">
        <f t="shared" si="36"/>
        <v>131</v>
      </c>
      <c r="O31" s="144">
        <f t="shared" si="36"/>
        <v>57</v>
      </c>
      <c r="P31" s="144">
        <f t="shared" si="36"/>
        <v>26</v>
      </c>
      <c r="Q31" s="144">
        <f t="shared" si="36"/>
        <v>17</v>
      </c>
      <c r="R31" s="144">
        <f t="shared" si="36"/>
        <v>350</v>
      </c>
      <c r="S31" s="144">
        <f t="shared" si="36"/>
        <v>572</v>
      </c>
      <c r="T31" s="144">
        <f t="shared" si="36"/>
        <v>307</v>
      </c>
      <c r="U31" s="144">
        <f t="shared" si="36"/>
        <v>261</v>
      </c>
      <c r="V31" s="144">
        <f t="shared" si="36"/>
        <v>611</v>
      </c>
      <c r="W31" s="144">
        <f t="shared" si="36"/>
        <v>84</v>
      </c>
      <c r="X31" s="144">
        <f t="shared" si="36"/>
        <v>110</v>
      </c>
      <c r="Y31" s="144">
        <f t="shared" si="36"/>
        <v>46</v>
      </c>
      <c r="Z31" s="144">
        <f t="shared" si="36"/>
        <v>24</v>
      </c>
      <c r="AA31" s="144">
        <f t="shared" si="36"/>
        <v>29</v>
      </c>
      <c r="AB31" s="144">
        <f t="shared" si="36"/>
        <v>41</v>
      </c>
      <c r="AC31" s="144">
        <f t="shared" si="36"/>
        <v>4</v>
      </c>
      <c r="AD31" s="144">
        <f t="shared" si="36"/>
        <v>3</v>
      </c>
      <c r="AE31" s="144">
        <f t="shared" si="36"/>
        <v>1</v>
      </c>
      <c r="AF31" s="144">
        <f t="shared" si="36"/>
        <v>6</v>
      </c>
      <c r="AG31" s="144">
        <f t="shared" si="36"/>
        <v>51</v>
      </c>
      <c r="AH31" s="144">
        <f t="shared" si="36"/>
        <v>13</v>
      </c>
      <c r="AI31" s="144">
        <f t="shared" si="36"/>
        <v>12</v>
      </c>
      <c r="AJ31" s="144">
        <f t="shared" si="36"/>
        <v>38</v>
      </c>
      <c r="AK31" s="144">
        <f t="shared" si="36"/>
        <v>2</v>
      </c>
      <c r="AL31" s="144">
        <f t="shared" si="36"/>
        <v>1</v>
      </c>
      <c r="AM31" s="144">
        <f t="shared" si="36"/>
        <v>1</v>
      </c>
      <c r="AN31" s="224">
        <f t="shared" si="36"/>
        <v>2</v>
      </c>
      <c r="AO31" s="225">
        <v>2</v>
      </c>
      <c r="AP31" s="225">
        <v>1</v>
      </c>
      <c r="AQ31" s="225">
        <v>1</v>
      </c>
      <c r="AR31" s="225">
        <v>1</v>
      </c>
      <c r="AS31" s="166">
        <f t="shared" si="36"/>
        <v>0</v>
      </c>
      <c r="AT31" s="166">
        <f t="shared" si="36"/>
        <v>0</v>
      </c>
      <c r="AU31" s="225"/>
      <c r="AV31" s="226"/>
      <c r="AW31" s="225"/>
      <c r="AX31" s="226"/>
      <c r="AY31" s="143">
        <f>SUBTOTAL(9,AY9:AY30)</f>
        <v>623</v>
      </c>
      <c r="AZ31" s="144">
        <f>SUBTOTAL(9,AZ9:AZ30)</f>
        <v>320</v>
      </c>
      <c r="BA31" s="144">
        <f>SUBTOTAL(9,BA9:BA30)</f>
        <v>273</v>
      </c>
      <c r="BB31" s="144">
        <f>SUBTOTAL(9,BB9:BB30)</f>
        <v>649</v>
      </c>
      <c r="BC31" s="145">
        <f>SUBTOTAL(9,BC9:BC30)</f>
        <v>71</v>
      </c>
      <c r="BD31" s="227">
        <f>IF(ISNUMBER(BA31/AZ31),BA31/AZ31," - ")</f>
        <v>0.85312500000000002</v>
      </c>
      <c r="BE31" s="224">
        <f>IF(ISNUMBER(BB31/BA31),BB31/BA31, " - ")</f>
        <v>2.3772893772893773</v>
      </c>
      <c r="BF31" s="224">
        <f>IF(ISNUMBER(BC31/BA31),BC31/BA31, " - ")</f>
        <v>0.26007326007326009</v>
      </c>
      <c r="BG31" s="145">
        <f>IF(ISNUMBER((AY31+AZ31)/BA31),(AY31+AZ31)/BA31," - ")</f>
        <v>3.4542124542124544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3Pi/KtIy9xVeDgtE9Zc2rDJkTCqOKhpJJEI2ocHdFTm3jguNcaG7DCh4XoiyaDjfAOEposoWJQ1/kzS/q10A==" saltValue="w/3xLqmiCzZePxBeS1wL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pUXdZOOOCOIcvgr2hfZLrednsHGiU73qzy+JoqXp1Ucl+7N6305aZX2aKO3rGWUPV52aDo5W5QEnjFzcoXYcw==" saltValue="s8b9ZWYqtbXVn+vt3PpP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MUROS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342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1.1654676258992807</v>
      </c>
      <c r="BH12" s="764">
        <f>IF(ISNUMBER(((IF(J_V="SI",Datos!L12/Datos!K12,(Datos!L12+Datos!AB12)/(Datos!K12+Datos!AA12)))*11)/factor_trimestre),((IF(J_V="SI",Datos!L12/Datos!K12,(Datos!L12+Datos!AB12)/(Datos!K12+Datos!AA12)))*11)/factor_trimestre," - ")</f>
        <v>6.7592592592592595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2.3952095808383235E-2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v>
      </c>
      <c r="AD14" s="1198">
        <f t="shared" si="2"/>
        <v>0</v>
      </c>
      <c r="AE14" s="1198">
        <f t="shared" si="2"/>
        <v>0</v>
      </c>
      <c r="AF14" s="1198">
        <f t="shared" si="2"/>
        <v>2</v>
      </c>
      <c r="AG14" s="1198">
        <f t="shared" si="2"/>
        <v>0</v>
      </c>
      <c r="AH14" s="1198">
        <f t="shared" si="2"/>
        <v>41</v>
      </c>
      <c r="AI14" s="1198">
        <f t="shared" si="2"/>
        <v>0</v>
      </c>
      <c r="AJ14" s="1198">
        <f t="shared" si="2"/>
        <v>0</v>
      </c>
      <c r="AK14" s="1198">
        <f t="shared" si="2"/>
        <v>0</v>
      </c>
      <c r="AL14" s="1198">
        <f t="shared" si="2"/>
        <v>0</v>
      </c>
      <c r="AM14" s="1198">
        <f t="shared" si="2"/>
        <v>342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66</v>
      </c>
      <c r="BE14" s="1198">
        <f t="shared" si="2"/>
        <v>0</v>
      </c>
      <c r="BF14" s="1198">
        <f t="shared" si="2"/>
        <v>0</v>
      </c>
      <c r="BG14" s="1198">
        <f>IF(ISNUMBER(Datos!K14/Datos!J14),Datos!K14/Datos!J14," - ")</f>
        <v>1.1565217391304348</v>
      </c>
      <c r="BH14" s="1202">
        <f>IF(ISNUMBER(((Datos!L14/Datos!K14)*11)/factor_trimestre),((Datos!L14/Datos!K14)*11)/factor_trimestre," - ")</f>
        <v>7.3533834586466176</v>
      </c>
      <c r="BI14" s="1198">
        <f>IF(ISNUMBER('Resol  Asuntos'!D14/NºAsuntos!G14),'Resol  Asuntos'!D14/NºAsuntos!G14," - ")</f>
        <v>0.32098765432098764</v>
      </c>
      <c r="BJ14" s="1198" t="str">
        <f>IF(ISNUMBER(Datos!CI14/Datos!CJ14),Datos!CI14/Datos!CJ14," - ")</f>
        <v xml:space="preserve"> - </v>
      </c>
      <c r="BK14" s="1198">
        <f>SUBTOTAL(9,BK8:BK13)</f>
        <v>0</v>
      </c>
      <c r="BL14" s="1198">
        <f>IF(ISNUMBER((I14-AB14+L14)/(F14)),(I14-AB14+L14)/(F14)," - ")</f>
        <v>0</v>
      </c>
      <c r="BM14" s="1203">
        <f>SUBTOTAL(9,BM9:BM13)</f>
        <v>2.3952095808383235E-2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120</v>
      </c>
      <c r="G17" s="743">
        <f>IF(ISNUMBER(IF(D_I="SI",Datos!I17,Datos!I17+Datos!AC17)),IF(D_I="SI",Datos!I17,Datos!I17+Datos!AC17)," - ")</f>
        <v>120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112</v>
      </c>
      <c r="AC17" s="240">
        <f>IF(ISNUMBER(Datos!Q17),Datos!Q17," - ")</f>
        <v>3</v>
      </c>
      <c r="AD17" s="374"/>
      <c r="AE17" s="562"/>
      <c r="AF17" s="741">
        <f>IF(ISNUMBER(IF(D_I="SI",Datos!L17,Datos!L17+Datos!AF17)),IF(D_I="SI",Datos!L17,Datos!L17+Datos!AF17)," - ")</f>
        <v>139</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0.85496183206106868</v>
      </c>
      <c r="BH17" s="764">
        <f>IF(ISNUMBER(((IF(D_I="SI",Datos!L17/Datos!K17,(Datos!L17+Datos!AF17)/(Datos!K17+Datos!AE17)))*11)/factor_trimestre),((IF(D_I="SI",Datos!L17/Datos!K17,(Datos!L17+Datos!AF17)/(Datos!K17+Datos!AE17)))*11)/factor_trimestre," - ")</f>
        <v>3.723214285714286</v>
      </c>
      <c r="BI17" s="266">
        <f>IF(ISNUMBER('Resol  Asuntos'!D17/NºAsuntos!G17),'Resol  Asuntos'!D17/NºAsuntos!G17," - ")</f>
        <v>0.21428571428571427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1</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120</v>
      </c>
      <c r="G23" s="1197">
        <f>SUBTOTAL(9,G16:G22)</f>
        <v>121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v>
      </c>
      <c r="AC23" s="1198">
        <f t="shared" si="5"/>
        <v>3</v>
      </c>
      <c r="AD23" s="1198">
        <f t="shared" si="5"/>
        <v>0</v>
      </c>
      <c r="AE23" s="1198">
        <f t="shared" si="5"/>
        <v>0</v>
      </c>
      <c r="AF23" s="1198">
        <f t="shared" si="5"/>
        <v>142</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65</v>
      </c>
      <c r="BE23" s="1198">
        <f t="shared" si="5"/>
        <v>0</v>
      </c>
      <c r="BF23" s="1198">
        <f t="shared" si="5"/>
        <v>0</v>
      </c>
      <c r="BG23" s="1198">
        <f>IF(ISNUMBER(Datos!K23/Datos!J23),Datos!K23/Datos!J23," - ")</f>
        <v>0.852112676056338</v>
      </c>
      <c r="BH23" s="1202">
        <f>IF(ISNUMBER(((Datos!L23/Datos!K23)*11)/factor_trimestre),((Datos!L23/Datos!K23)*11)/factor_trimestre," - ")</f>
        <v>3.5206611570247937</v>
      </c>
      <c r="BI23" s="1198">
        <f>SUBTOTAL(9,BI16:BI22)</f>
        <v>0.32539682539682535</v>
      </c>
      <c r="BJ23" s="1198">
        <f>SUBTOTAL(9,BJ16:BJ22)</f>
        <v>0</v>
      </c>
      <c r="BK23" s="1198">
        <f>SUBTOTAL(9,BK16:BK22)</f>
        <v>0</v>
      </c>
      <c r="BL23" s="1198">
        <f>IF(ISNUMBER((I23-AB23+L23)/(F23)),(I23-AB23+L23)/(F23)," - ")</f>
        <v>-1.0083333333333333</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122</v>
      </c>
      <c r="G31" s="1117">
        <f t="shared" si="18"/>
        <v>123</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v>
      </c>
      <c r="AC31" s="1118">
        <f t="shared" si="19"/>
        <v>17</v>
      </c>
      <c r="AD31" s="1118">
        <f t="shared" si="19"/>
        <v>0</v>
      </c>
      <c r="AE31" s="1118">
        <f t="shared" si="19"/>
        <v>0</v>
      </c>
      <c r="AF31" s="1125">
        <f t="shared" si="19"/>
        <v>144</v>
      </c>
      <c r="AG31" s="1125">
        <f t="shared" si="19"/>
        <v>0</v>
      </c>
      <c r="AH31" s="1125">
        <f t="shared" si="19"/>
        <v>41</v>
      </c>
      <c r="AI31" s="1125">
        <f t="shared" si="19"/>
        <v>0</v>
      </c>
      <c r="AJ31" s="1118">
        <f t="shared" si="19"/>
        <v>0</v>
      </c>
      <c r="AK31" s="1125">
        <f t="shared" si="19"/>
        <v>0</v>
      </c>
      <c r="AL31" s="1125">
        <f t="shared" si="19"/>
        <v>0</v>
      </c>
      <c r="AM31" s="1125">
        <f t="shared" si="19"/>
        <v>350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v>
      </c>
      <c r="BD31" s="1117">
        <f t="shared" si="19"/>
        <v>131</v>
      </c>
      <c r="BE31" s="1117">
        <f t="shared" si="19"/>
        <v>0</v>
      </c>
      <c r="BF31" s="1127">
        <f t="shared" si="19"/>
        <v>0</v>
      </c>
      <c r="BG31" s="1223">
        <f>IF(ISNUMBER(Datos!K31/Datos!J31),Datos!K31/Datos!J31," - ")</f>
        <v>0.98832684824902728</v>
      </c>
      <c r="BH31" s="1223">
        <f>IF(ISNUMBER(((Datos!L31/Datos!K31)*11)/factor_trimestre),((Datos!L31/Datos!K31)*11)/factor_trimestre," - ")</f>
        <v>5.5275590551181102</v>
      </c>
      <c r="BI31" s="1103">
        <f>IF(ISNUMBER(Datos!J31/Datos!I31),Datos!J31/Datos!I31," - ")</f>
        <v>0.55268817204301079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-0.99180327868852458</v>
      </c>
      <c r="BM31" s="1188">
        <f>IF(ISNUMBER((Datos!P31-Datos!Q31+R31)/(Datos!R31-Datos!P31+Datos!Q31-R31)),(Datos!P31-Datos!Q31+R31)/(Datos!R31-Datos!P31+Datos!Q31-R31)," - ")</f>
        <v>2.6392961876832845E-2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61.457844630825342</v>
      </c>
      <c r="G33" s="674">
        <f>IF(ISNUMBER(STDEV(G8:G30)),STDEV(G8:G30),"-")</f>
        <v>58.316460144709779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56.124436575812332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22.820729924472495</v>
      </c>
      <c r="BD33" s="673"/>
      <c r="BE33" s="673">
        <f>IF(ISNUMBER(STDEV(BE8:BE30)),STDEV(BE8:BE30),"-")</f>
        <v>0</v>
      </c>
      <c r="BF33" s="678">
        <f>IF(ISNUMBER(STDEV(BF8:BF30)),STDEV(BF8:BF30),"-")</f>
        <v>0</v>
      </c>
      <c r="BG33" s="1052">
        <f>IF(ISNUMBER(STDEV(BG8:BG30)),STDEV(BG8:BG30),"-")</f>
        <v>0.17548247509339324</v>
      </c>
      <c r="BH33" s="1058">
        <f>IF(ISNUMBER(STDEV(BH8:BH30)),STDEV(BH8:BH30),"-")</f>
        <v>2.6006937906191627</v>
      </c>
      <c r="BI33" s="273">
        <f>IF(ISNUMBER(STDEV(BI8:BI30)),STDEV(BI8:BI30),"-")</f>
        <v>0.10180125788602161</v>
      </c>
      <c r="BJ33" s="244" t="str">
        <f>IF(ISNUMBER(BL33/BM33),BL33/BM33," - ")</f>
        <v xml:space="preserve"> - </v>
      </c>
      <c r="BK33" s="709"/>
      <c r="BL33" s="681">
        <f>IF(ISNUMBER(STDEV(BL8:BL30)),STDEV(BL8:BL30),"-")</f>
        <v>0.71299933769643542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G1EB90xAqDLkUHdRqoRsviIYzYlyfD1m/lyv5w/O9Po8FPx4xCfQvwpbt+kE7rrdUntYQeSwjS/5NKHK2jjwg==" saltValue="6aYi/MOdPNDRcFLnb5WW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MUROS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342</v>
      </c>
      <c r="AF12" s="693" t="str">
        <f>IF(ISNUMBER(Datos!BV12),Datos!BV12," - ")</f>
        <v xml:space="preserve"> - </v>
      </c>
      <c r="AG12" s="552" t="str">
        <f>IF(ISNUMBER(Datos!DV12),Datos!DV12," - ")</f>
        <v xml:space="preserve"> - </v>
      </c>
      <c r="AH12" s="553"/>
      <c r="AI12" s="554"/>
      <c r="AJ12" s="552">
        <f>IF(ISNUMBER(Datos!M12),Datos!M12," - ")</f>
        <v>52</v>
      </c>
      <c r="AK12" s="693">
        <f>IF(ISNUMBER(Datos!N12),Datos!N12," - ")</f>
        <v>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6.7592592592592595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2.3952095808383235E-2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v>
      </c>
      <c r="AA14" s="1199">
        <f t="shared" si="3"/>
        <v>2</v>
      </c>
      <c r="AB14" s="1199">
        <f t="shared" si="3"/>
        <v>0</v>
      </c>
      <c r="AC14" s="1199">
        <f t="shared" si="3"/>
        <v>0</v>
      </c>
      <c r="AD14" s="1199">
        <f t="shared" si="3"/>
        <v>0</v>
      </c>
      <c r="AE14" s="1199">
        <f t="shared" si="3"/>
        <v>342</v>
      </c>
      <c r="AF14" s="1211">
        <f t="shared" si="3"/>
        <v>0</v>
      </c>
      <c r="AG14" s="1211">
        <f t="shared" si="3"/>
        <v>0</v>
      </c>
      <c r="AH14" s="1211">
        <f t="shared" si="3"/>
        <v>0</v>
      </c>
      <c r="AI14" s="1211">
        <f t="shared" si="3"/>
        <v>0</v>
      </c>
      <c r="AJ14" s="1211">
        <f t="shared" si="3"/>
        <v>52</v>
      </c>
      <c r="AK14" s="1211">
        <f t="shared" si="3"/>
        <v>66</v>
      </c>
      <c r="AL14" s="1211">
        <f t="shared" si="3"/>
        <v>0</v>
      </c>
      <c r="AM14" s="1211">
        <f t="shared" si="3"/>
        <v>0</v>
      </c>
      <c r="AN14" s="1211">
        <f t="shared" si="3"/>
        <v>0</v>
      </c>
      <c r="AO14" s="1203">
        <f>IF(ISNUMBER(((NºAsuntos!I14/NºAsuntos!G14)*11)/factor_trimestre),((NºAsuntos!I14/NºAsuntos!G14)*11)/factor_trimestre," - ")</f>
        <v>6.7962962962962967</v>
      </c>
      <c r="AP14" s="1213" t="str">
        <f>IF(ISNUMBER(Datos!CI14/Datos!CJ14),Datos!CI14/Datos!CJ14," - ")</f>
        <v xml:space="preserve"> - </v>
      </c>
      <c r="AQ14" s="1236">
        <f t="shared" ref="AQ14:AV14" si="4">SUBTOTAL(9,AQ9:AQ13)</f>
        <v>0</v>
      </c>
      <c r="AR14" s="1236">
        <f t="shared" si="4"/>
        <v>2.3952095808383235E-2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120</v>
      </c>
      <c r="G17" s="552">
        <f>IF(ISNUMBER(IF(D_I="SI",Datos!I17,Datos!I17+Datos!AC17)),IF(D_I="SI",Datos!I17,Datos!I17+Datos!AC17)," - ")</f>
        <v>120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112</v>
      </c>
      <c r="Z17" s="805">
        <f>IF(ISNUMBER(Datos!Q17),Datos!Q17," - ")</f>
        <v>3</v>
      </c>
      <c r="AA17" s="551">
        <f>IF(ISNUMBER(IF(D_I="SI",Datos!L17,Datos!L17+Datos!AF17)),IF(D_I="SI",Datos!L17,Datos!L17+Datos!AF17)," - ")</f>
        <v>139</v>
      </c>
      <c r="AB17" s="549"/>
      <c r="AC17" s="549"/>
      <c r="AD17" s="563"/>
      <c r="AE17" s="563">
        <f>IF(ISNUMBER(Datos!R17),Datos!R17," - ")</f>
        <v>8</v>
      </c>
      <c r="AF17" s="693" t="str">
        <f>IF(ISNUMBER(Datos!BV17),Datos!BV17," - ")</f>
        <v xml:space="preserve"> - </v>
      </c>
      <c r="AG17" s="552"/>
      <c r="AH17" s="553"/>
      <c r="AI17" s="554"/>
      <c r="AJ17" s="552">
        <f>IF(ISNUMBER(Datos!M17),Datos!M17," - ")</f>
        <v>24</v>
      </c>
      <c r="AK17" s="693">
        <f>IF(ISNUMBER(Datos!N17),Datos!N17," - ")</f>
        <v>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3.723214285714286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120</v>
      </c>
      <c r="G23" s="1197">
        <f>SUBTOTAL(9,G16:G22)</f>
        <v>121</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v>
      </c>
      <c r="Z23" s="1240">
        <f t="shared" si="6"/>
        <v>3</v>
      </c>
      <c r="AA23" s="1240">
        <f t="shared" si="6"/>
        <v>142</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25</v>
      </c>
      <c r="AK23" s="1240">
        <f t="shared" si="6"/>
        <v>65</v>
      </c>
      <c r="AL23" s="1240">
        <f t="shared" si="6"/>
        <v>0</v>
      </c>
      <c r="AM23" s="1240">
        <f t="shared" si="6"/>
        <v>0</v>
      </c>
      <c r="AN23" s="1240">
        <f t="shared" si="6"/>
        <v>0</v>
      </c>
      <c r="AO23" s="1242">
        <f>IF(ISNUMBER(((NºAsuntos!I23/NºAsuntos!G23)*11)/factor_trimestre),((NºAsuntos!I23/NºAsuntos!G23)*11)/factor_trimestre," - ")</f>
        <v>3.5206611570247937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122</v>
      </c>
      <c r="G31" s="1117">
        <f t="shared" si="12"/>
        <v>123</v>
      </c>
      <c r="H31" s="1118">
        <f t="shared" si="12"/>
        <v>0</v>
      </c>
      <c r="I31" s="1117">
        <f t="shared" si="12"/>
        <v>0</v>
      </c>
      <c r="J31" s="1119">
        <f t="shared" si="12"/>
        <v>0</v>
      </c>
      <c r="K31" s="1117">
        <f t="shared" si="12"/>
        <v>0</v>
      </c>
      <c r="L31" s="1120">
        <f t="shared" si="12"/>
        <v>0</v>
      </c>
      <c r="M31" s="1117">
        <f t="shared" si="12"/>
        <v>0</v>
      </c>
      <c r="N31" s="1118">
        <f t="shared" si="12"/>
        <v>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v>
      </c>
      <c r="Z31" s="1124">
        <f t="shared" si="13"/>
        <v>17</v>
      </c>
      <c r="AA31" s="1125">
        <f t="shared" si="13"/>
        <v>144</v>
      </c>
      <c r="AB31" s="1125">
        <f t="shared" si="13"/>
        <v>0</v>
      </c>
      <c r="AC31" s="1125">
        <f t="shared" si="13"/>
        <v>0</v>
      </c>
      <c r="AD31" s="1126">
        <f t="shared" si="13"/>
        <v>0</v>
      </c>
      <c r="AE31" s="1126">
        <f t="shared" si="13"/>
        <v>350</v>
      </c>
      <c r="AF31" s="1127">
        <f t="shared" si="13"/>
        <v>0</v>
      </c>
      <c r="AG31" s="1128">
        <f t="shared" si="13"/>
        <v>0</v>
      </c>
      <c r="AH31" s="1129">
        <f t="shared" si="13"/>
        <v>0</v>
      </c>
      <c r="AI31" s="1127">
        <f t="shared" si="13"/>
        <v>0</v>
      </c>
      <c r="AJ31" s="1117">
        <f t="shared" si="13"/>
        <v>77</v>
      </c>
      <c r="AK31" s="1117">
        <f t="shared" si="13"/>
        <v>131</v>
      </c>
      <c r="AL31" s="1117">
        <f t="shared" si="13"/>
        <v>0</v>
      </c>
      <c r="AM31" s="1130">
        <f t="shared" si="13"/>
        <v>0</v>
      </c>
      <c r="AN31" s="1120">
        <f>IF(ISNUMBER(Datos!K31/Datos!J31),Datos!K31/Datos!J31," - ")</f>
        <v>0.98832684824902728</v>
      </c>
      <c r="AO31" s="1120">
        <f>IF(ISNUMBER(FIND("06",Criterios!A8,1)),(IF(ISNUMBER(((Datos!R31/Datos!Q31)*11)/factor_trimestre),((Datos!R31/Datos!Q31)*11)/factor_trimestre," - ")),(IF(ISNUMBER(((Datos!L31/Datos!K31)*11)/factor_trimestre),((Datos!L31/Datos!K31)*11)/factor_trimestre," - ")))</f>
        <v>5.5275590551181102</v>
      </c>
      <c r="AP31" s="1131" t="str">
        <f>IF(ISNUMBER(Datos!CI31/Datos!CJ31),Datos!CI31/Datos!CJ31," - ")</f>
        <v xml:space="preserve"> - </v>
      </c>
      <c r="AQ31" s="1131">
        <f>IF(OR(ISNUMBER(FIND("01",Criterios!A8,1)),ISNUMBER(FIND("02",Criterios!A8,1)),ISNUMBER(FIND("03",Criterios!A8,1)),ISNUMBER(FIND("04",Criterios!A8,1))),(J31-Y31+K31)/(F31-K31),(I31-Y31+K31)/(F31-K31))</f>
        <v>-0.99180327868852458</v>
      </c>
      <c r="AR31" s="1131">
        <f>IF(ISNUMBER((Datos!P31-Datos!Q31+O31)/(Datos!R31-Datos!P31+Datos!Q31-O31)),(Datos!P31-Datos!Q31+O31)/(Datos!R31-Datos!P31+Datos!Q31-O31)," - ")</f>
        <v>2.6392961876832845E-2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61.457844630825342</v>
      </c>
      <c r="G33" s="674">
        <f>IF(ISNUMBER(STDEV(G8:G30)),STDEV(G8:G30),"-")</f>
        <v>58.316460144709779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22.820729924472495</v>
      </c>
      <c r="AK33" s="276"/>
      <c r="AL33" s="276">
        <f>IF(ISNUMBER(STDEV(AL8:AL30)),STDEV(AL8:AL30),"-")</f>
        <v>0</v>
      </c>
      <c r="AM33" s="278">
        <f>IF(ISNUMBER(STDEV(AM8:AM30)),STDEV(AM8:AM30),"-")</f>
        <v>0</v>
      </c>
      <c r="AN33" s="660">
        <f>IF(ISNUMBER(STDEV(AN8:AN30)),STDEV(AN8:AN30),"-")</f>
        <v>0</v>
      </c>
      <c r="AO33" s="661">
        <f>IF(ISNUMBER(STDEV(AO8:AO30)),STDEV(AO8:AO30),"-")</f>
        <v>2.4541582218237825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wdCzvsglrJPuhmfIFbs1owch/q38KkJz1HviUScnakcF+JOErz+1hA5cf+72Ad77DdPz0Rw713IBEamG0p8HA==" saltValue="nRehsztNnOFHOA77eTB1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mdlh6bOImauxgFGffGcSdd4JXHwWLxINgSEHYBdt53KwAbaAoNgBVp3gWuCkOi1gbTEcVV05W+m1XVS2zBwGg==" saltValue="AAuryIWxayBVrAgBso5U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Xarku52IozFIsT/nn1zvZmELRSZovmP0Vk4lYvhQwyuB9FRxK+L95jSjnxnGSwkQgXbQUdy483fgC/WiReJA==" saltValue="PJdAsO1q4Jv9tT1bO28u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MUROS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0.32098765432098764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0.22697254704753375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7vwEnUL8u2aA+Ly48LTN9XIiMrdhFCsZoFctHXeVu4g/wEw63ddQQ8LTkOJebvwj34b+pDfPJrQejVtch9hAA==" saltValue="0gYDPawiulZVmZlbTJPs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fiIXS4U70tJJfx/srzlFQcqoCthDNi3dE8itLEhILNUgq9JrA2l4P5BLbXQ91nmzEclx5c9hqRq9tXbcyH0rQ==" saltValue="XqYYbYo4C+eTN9H3yreF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MUROS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388</v>
      </c>
      <c r="D12" s="452">
        <f>IF(ISNUMBER(C12/Datos!BH12),C12/Datos!BH12," - ")</f>
        <v>388</v>
      </c>
      <c r="E12" s="451">
        <f>IF(ISNUMBER(IF(J_V="SI",Datos!J12,Datos!J12+Datos!Z12)),IF(J_V="SI",Datos!J12,Datos!J12+Datos!Z12)," - ")</f>
        <v>139</v>
      </c>
      <c r="F12" s="452">
        <f>IF(ISNUMBER(E12/B12),E12/B12," - ")</f>
        <v>139</v>
      </c>
      <c r="G12" s="451">
        <f>IF(ISNUMBER(IF(J_V="SI",Datos!K12,Datos!K12+Datos!AA12)),IF(J_V="SI",Datos!K12,Datos!K12+Datos!AA12)," - ")</f>
        <v>162</v>
      </c>
      <c r="H12" s="452">
        <f>IF(ISNUMBER(G12/B12),G12/B12," - ")</f>
        <v>162</v>
      </c>
      <c r="I12" s="451">
        <f>IF(ISNUMBER(IF(J_V="SI",Datos!L12,Datos!L12+Datos!AB12)),IF(J_V="SI",Datos!L12,Datos!L12+Datos!AB12)," - ")</f>
        <v>365</v>
      </c>
      <c r="J12" s="452">
        <f>IF(ISNUMBER(I12/B12),I12/B12," - ")</f>
        <v>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390</v>
      </c>
      <c r="D14" s="1147" t="str">
        <f>IF(ISNUMBER(C14/Datos!BI14),C14/Datos!BI14," - ")</f>
        <v xml:space="preserve"> - </v>
      </c>
      <c r="E14" s="1146">
        <f>SUBTOTAL(9,E8:E13)</f>
        <v>139</v>
      </c>
      <c r="F14" s="1147">
        <f>IF(ISNUMBER(E14/B14),E14/B14," - ")</f>
        <v>139</v>
      </c>
      <c r="G14" s="1146">
        <f>SUBTOTAL(9,G8:G13)</f>
        <v>162</v>
      </c>
      <c r="H14" s="1147">
        <f>IF(ISNUMBER(G14/B14),G14/B14," - ")</f>
        <v>162</v>
      </c>
      <c r="I14" s="1146">
        <f>SUBTOTAL(9,I8:I13)</f>
        <v>367</v>
      </c>
      <c r="J14" s="1147">
        <f>IF(ISNUMBER(I14/B14),I14/B14," - ")</f>
        <v>367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120</v>
      </c>
      <c r="D17" s="452">
        <f>IF(ISNUMBER(C17/Datos!BH17),C17/Datos!BH17," - ")</f>
        <v>120</v>
      </c>
      <c r="E17" s="451">
        <f>IF(ISNUMBER(IF(D_I="SI",Datos!J17,Datos!J17+Datos!AD17)),IF(D_I="SI",Datos!J17,Datos!J17+Datos!AD17)," - ")</f>
        <v>131</v>
      </c>
      <c r="F17" s="452">
        <f>IF(ISNUMBER(E17/B17),E17/B17," - ")</f>
        <v>131</v>
      </c>
      <c r="G17" s="451">
        <f>IF(ISNUMBER(IF(D_I="SI",Datos!K17,Datos!K17+Datos!AE17)),IF(D_I="SI",Datos!K17,Datos!K17+Datos!AE17)," - ")</f>
        <v>112</v>
      </c>
      <c r="H17" s="452">
        <f>IF(ISNUMBER(G17/B17),G17/B17," - ")</f>
        <v>112</v>
      </c>
      <c r="I17" s="451">
        <f>IF(ISNUMBER(IF(D_I="SI",Datos!L17,Datos!L17+Datos!AF17)),IF(D_I="SI",Datos!L17,Datos!L17+Datos!AF17)," - ")</f>
        <v>139</v>
      </c>
      <c r="J17" s="452">
        <f>IF(ISNUMBER(I17/B17),I17/B17," - ")</f>
        <v>139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121</v>
      </c>
      <c r="D23" s="1147" t="str">
        <f>IF(ISNUMBER(C23/Datos!BI23),C23/Datos!BI23," - ")</f>
        <v xml:space="preserve"> - </v>
      </c>
      <c r="E23" s="1146">
        <f>SUBTOTAL(9,E15:E22)</f>
        <v>142</v>
      </c>
      <c r="F23" s="1147">
        <f>IF(ISNUMBER(E23/B23),E23/B23," - ")</f>
        <v>142</v>
      </c>
      <c r="G23" s="1146">
        <f>SUBTOTAL(9,G15:G22)</f>
        <v>121</v>
      </c>
      <c r="H23" s="1147">
        <f>IF(ISNUMBER(G23/B23),G23/B23," - ")</f>
        <v>121</v>
      </c>
      <c r="I23" s="1146">
        <f>SUBTOTAL(9,I15:I22)</f>
        <v>142</v>
      </c>
      <c r="J23" s="1147">
        <f>IF(ISNUMBER(I23/B23),I23/B23," - ")</f>
        <v>142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511</v>
      </c>
      <c r="D31" s="1085" t="str">
        <f>IF(ISNUMBER(C31/Datos!BI31),C31/Datos!BI31," - ")</f>
        <v xml:space="preserve"> - </v>
      </c>
      <c r="E31" s="1084">
        <f>SUBTOTAL(9,E9:E30)</f>
        <v>281</v>
      </c>
      <c r="F31" s="1085">
        <f>IF(ISNUMBER(E31/B31),E31/B31," - ")</f>
        <v>281</v>
      </c>
      <c r="G31" s="1084">
        <f>SUBTOTAL(9,G9:G30)</f>
        <v>283</v>
      </c>
      <c r="H31" s="1085">
        <f>IF(ISNUMBER(G31/B31),G31/B31," - ")</f>
        <v>283</v>
      </c>
      <c r="I31" s="1084">
        <f>SUBTOTAL(9,I9:I30)</f>
        <v>509</v>
      </c>
      <c r="J31" s="1085">
        <f>IF(ISNUMBER(I31/B31),I31/B31," - ")</f>
        <v>509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V8sHdlczZBnE7RZj5QCAFhuIwqmcfNNRJihgx0Xm3+1sEZHRbt6zfjKIw+uzUR/vjLcmIP1NY1OoWefl2yPLg==" saltValue="GZG9yO9oo4wGJspZFaOF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MUROS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6.7592592592592595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2.3952095808383235E-2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v>
      </c>
      <c r="AE14" s="1257">
        <f t="shared" si="1"/>
        <v>0</v>
      </c>
      <c r="AF14" s="1257">
        <f t="shared" si="1"/>
        <v>2</v>
      </c>
      <c r="AG14" s="1257">
        <f t="shared" si="1"/>
        <v>0</v>
      </c>
      <c r="AH14" s="1257">
        <f t="shared" si="1"/>
        <v>342</v>
      </c>
      <c r="AI14" s="1257">
        <f t="shared" si="1"/>
        <v>0</v>
      </c>
      <c r="AJ14" s="1257">
        <f t="shared" si="1"/>
        <v>0</v>
      </c>
      <c r="AK14" s="1257">
        <f t="shared" si="1"/>
        <v>0</v>
      </c>
      <c r="AL14" s="1257">
        <f t="shared" si="1"/>
        <v>52</v>
      </c>
      <c r="AM14" s="1257">
        <f t="shared" si="1"/>
        <v>66</v>
      </c>
      <c r="AN14" s="1257">
        <f t="shared" si="1"/>
        <v>0</v>
      </c>
      <c r="AO14" s="1257">
        <f t="shared" si="1"/>
        <v>0</v>
      </c>
      <c r="AP14" s="1262">
        <f>IF(ISNUMBER(((Datos!L14/Datos!K14)*11)/factor_trimestre),((Datos!L14/Datos!K14)*11)/factor_trimestre," - ")</f>
        <v>7.3533834586466176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2.3952095808383235E-2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3.5206611570247937</v>
      </c>
      <c r="AQ23" s="1262">
        <f>IF(ISNUMBER(((Datos!M23/Datos!L23)*11)/factor_trimestre),((Datos!M23/Datos!L23)*11)/factor_trimestre," - ")</f>
        <v>0.528169014084507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-3.787878787878788E-2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v>
      </c>
      <c r="AE31" s="1284">
        <f t="shared" si="9"/>
        <v>0</v>
      </c>
      <c r="AF31" s="1285">
        <f t="shared" si="9"/>
        <v>2</v>
      </c>
      <c r="AG31" s="1285">
        <f t="shared" si="9"/>
        <v>0</v>
      </c>
      <c r="AH31" s="1285">
        <f t="shared" si="9"/>
        <v>342</v>
      </c>
      <c r="AI31" s="1285">
        <f t="shared" si="9"/>
        <v>0</v>
      </c>
      <c r="AJ31" s="1286">
        <f t="shared" si="9"/>
        <v>0</v>
      </c>
      <c r="AK31" s="1286">
        <f t="shared" si="9"/>
        <v>0</v>
      </c>
      <c r="AL31" s="1278">
        <f t="shared" si="9"/>
        <v>52</v>
      </c>
      <c r="AM31" s="1278">
        <f t="shared" si="9"/>
        <v>66</v>
      </c>
      <c r="AN31" s="1278">
        <f t="shared" si="9"/>
        <v>0</v>
      </c>
      <c r="AO31" s="1278">
        <f t="shared" si="9"/>
        <v>0</v>
      </c>
      <c r="AP31" s="1278">
        <f>IF(ISNUMBER(((Datos!L31/Datos!K31)*11)/factor_trimestre),((Datos!L31/Datos!K31)*11)/factor_trimestre," - ")</f>
        <v>5.5275590551181102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2.6392961876832845E-2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2.0628160959169226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KTwpgoSqgKHEPM9QjhIlPCbSN+7MifNgHw4LRgXS4jWVWht3pRcl/owiIPViDmnJbGncHtQXbPyeq70dD6foA==" saltValue="RbpqHPP7NTqS2ky9urr6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MUROS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ukmhtHTLfffW6Bx5gqg7zUP8YcPTC3/7LH/T+BOBAb/SenIwJethdIEoVQCPeBdla1ivZS3OP8OSrVVH65FzQ==" saltValue="m9zftRHQl06DZL//q8dT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MUROS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52</v>
      </c>
      <c r="E12" s="452">
        <f t="shared" si="0"/>
        <v>52</v>
      </c>
      <c r="F12" s="451">
        <f>IF(ISNUMBER(Datos!N12),Datos!N12," - ")</f>
        <v>66</v>
      </c>
      <c r="G12" s="452">
        <f t="shared" si="1"/>
        <v>66</v>
      </c>
      <c r="H12" s="451">
        <f>IF(ISNUMBER(Datos!O12),Datos!O12," - ")</f>
        <v>54</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52</v>
      </c>
      <c r="E14" s="1147">
        <f t="shared" si="0"/>
        <v>26</v>
      </c>
      <c r="F14" s="1146">
        <f>SUBTOTAL(9,F9:F13)</f>
        <v>66</v>
      </c>
      <c r="G14" s="1147">
        <f t="shared" si="1"/>
        <v>33</v>
      </c>
      <c r="H14" s="1146">
        <f>SUBTOTAL(9,H9:H13)</f>
        <v>54</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24</v>
      </c>
      <c r="E17" s="452">
        <f t="shared" si="3"/>
        <v>24</v>
      </c>
      <c r="F17" s="451">
        <f>IF(ISNUMBER(Datos!N17),Datos!N17," - ")</f>
        <v>56</v>
      </c>
      <c r="G17" s="452">
        <f t="shared" si="4"/>
        <v>56</v>
      </c>
      <c r="H17" s="451">
        <f>IF(ISNUMBER(Datos!O17),Datos!O17," - ")</f>
        <v>3</v>
      </c>
      <c r="I17" s="452">
        <f t="shared" si="5"/>
        <v>3</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65</v>
      </c>
      <c r="G23" s="1147">
        <f t="shared" si="4"/>
        <v>32.5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77</v>
      </c>
      <c r="E31" s="1085">
        <f>IF(ISNUMBER(D31/B31),D31/B31," - ")</f>
        <v>77</v>
      </c>
      <c r="F31" s="1084">
        <f>SUBTOTAL(9,F8:F30)</f>
        <v>131</v>
      </c>
      <c r="G31" s="1085">
        <f>IF(ISNUMBER(F31/B31),F31/B31," - ")</f>
        <v>131</v>
      </c>
      <c r="H31" s="1084">
        <f>SUBTOTAL(9,H8:H30)</f>
        <v>57</v>
      </c>
      <c r="I31" s="1085">
        <f>IF(ISNUMBER(H31/B31),H31/B31," - ")</f>
        <v>57</v>
      </c>
    </row>
    <row r="34" spans="1:1">
      <c r="A34" s="439" t="str">
        <f>Criterios!A4</f>
        <v>Fecha Informe: 06 may. 2023</v>
      </c>
    </row>
    <row r="39" spans="1:1">
      <c r="A39" s="462"/>
    </row>
  </sheetData>
  <sheetProtection algorithmName="SHA-512" hashValue="MaveLgAG7j9Vv1RQs5+o8jC/yfsQSyiJtfoRvw+e1lZtnodk/ngsjuETD50FXuOOj3jdDu5TPSwaakAEL+A+KA==" saltValue="vx3wCX3xRQsXWggt9xGP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MUROS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14</v>
      </c>
      <c r="D12" s="456">
        <f>IF(ISNUMBER(Datos!R12),Datos!R12," - ")</f>
        <v>342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14</v>
      </c>
      <c r="D14" s="1148">
        <f>SUBTOTAL(9,D9:D13)</f>
        <v>342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3</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v>
      </c>
      <c r="C31" s="1089">
        <f>SUBTOTAL(9,C8:C30)</f>
        <v>17</v>
      </c>
      <c r="D31" s="1090">
        <f>SUBTOTAL(9,D8:D30)</f>
        <v>350</v>
      </c>
    </row>
    <row r="32" spans="1:4" ht="7.5" customHeight="1"/>
    <row r="33" spans="1:1" ht="6" customHeight="1"/>
    <row r="34" spans="1:1">
      <c r="A34" s="439" t="str">
        <f>Criterios!A4</f>
        <v>Fecha Informe: 06 may. 2023</v>
      </c>
    </row>
    <row r="39" spans="1:1">
      <c r="A39" s="462"/>
    </row>
  </sheetData>
  <sheetProtection algorithmName="SHA-512" hashValue="0WpccOFe22khOIVbw0lAKnmVbG57VLrngox+AeA9Cl8iV/2/idTgyzVxy+iDCza8dPrZdLdUIWKyvhFHdV2NxQ==" saltValue="R4g8t6lYXWonh98/6hSY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MUROS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t="str">
        <f>IF(ISNUMBER((Datos!J10-Datos!T10)/Datos!T10),(Datos!J10-Datos!T10)/Datos!T10," - ")</f>
        <v xml:space="preserve"> - </v>
      </c>
      <c r="D10" s="515">
        <f>IF(ISNUMBER((Datos!K10-Datos!U10)/Datos!U10),(Datos!K10-Datos!U10)/Datos!U10," - ")</f>
        <v>-1</v>
      </c>
      <c r="E10" s="515">
        <f>IF(ISNUMBER((Datos!L10-Datos!V10)/Datos!V10),(Datos!L10-Datos!V10)/Datos!V10," - ")</f>
        <v>-0.7142857142857143</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-0.20491803278688525</v>
      </c>
      <c r="C12" s="515">
        <f>IF(ISNUMBER(
   IF(J_V="SI",(Datos!J12-Datos!T12)/Datos!T12,(Datos!J12+Datos!Z12-(Datos!T12+Datos!AH12))/(Datos!T12+Datos!AH12))
     ),IF(J_V="SI",(Datos!J12-Datos!T12)/Datos!T12,(Datos!J12+Datos!Z12-(Datos!T12+Datos!AH12))/(Datos!T12+Datos!AH12))," - ")</f>
        <v>-6.0810810810810814E-2</v>
      </c>
      <c r="D12" s="515">
        <f>IF(ISNUMBER(
   IF(J_V="SI",(Datos!K12-Datos!U12)/Datos!U12,(Datos!K12+Datos!AA12-(Datos!U12+Datos!AI12))/(Datos!U12+Datos!AI12))
     ),IF(J_V="SI",(Datos!K12-Datos!U12)/Datos!U12,(Datos!K12+Datos!AA12-(Datos!U12+Datos!AI12))/(Datos!U12+Datos!AI12))," - ")</f>
        <v>0.54285714285714282</v>
      </c>
      <c r="E12" s="515">
        <f>IF(ISNUMBER(
   IF(J_V="SI",(Datos!L12-Datos!V12)/Datos!V12,(Datos!L12+Datos!AB12-(Datos!V12+Datos!AJ12))/(Datos!V12+Datos!AJ12))
     ),IF(J_V="SI",(Datos!L12-Datos!V12)/Datos!V12,(Datos!L12+Datos!AB12-(Datos!V12+Datos!AJ12))/(Datos!V12+Datos!AJ12))," - ")</f>
        <v>-0.28431372549019607</v>
      </c>
      <c r="F12" s="515">
        <f>IF(ISNUMBER((Datos!M12-Datos!W12)/Datos!W12),(Datos!M12-Datos!W12)/Datos!W12," - ")</f>
        <v>0.33333333333333331</v>
      </c>
      <c r="G12" s="516">
        <f>IF(ISNUMBER((Datos!N12-Datos!X12)/Datos!X12),(Datos!N12-Datos!X12)/Datos!X12," - ")</f>
        <v>1.5384615384615385</v>
      </c>
      <c r="H12" s="514">
        <f>IF(ISNUMBER(((NºAsuntos!G12/NºAsuntos!E12)-Datos!BD12)/Datos!BD12),((NºAsuntos!G12/NºAsuntos!E12)-Datos!BD12)/Datos!BD12," - ")</f>
        <v>0.64275436793422425</v>
      </c>
      <c r="I12" s="515">
        <f>IF(ISNUMBER(((NºAsuntos!I12/NºAsuntos!G12)-Datos!BE12)/Datos!BE12),((NºAsuntos!I12/NºAsuntos!G12)-Datos!BE12)/Datos!BE12," - ")</f>
        <v>-0.53612926652142334</v>
      </c>
      <c r="J12" s="521">
        <f>IF(ISNUMBER((('Resol  Asuntos'!D12/NºAsuntos!G12)-Datos!BF12)/Datos!BF12),(('Resol  Asuntos'!D12/NºAsuntos!G12)-Datos!BF12)/Datos!BF12," - ")</f>
        <v>0.29629629629629617</v>
      </c>
      <c r="K12" s="522">
        <f>IF(ISNUMBER((((NºAsuntos!C12+NºAsuntos!E12)/NºAsuntos!G12)-Datos!BG12)/Datos!BG12),(((NºAsuntos!C12+NºAsuntos!E12)/NºAsuntos!G12)-Datos!BG12)/Datos!BG12," - ")</f>
        <v>-0.46293384579548102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-0.21370967741935484</v>
      </c>
      <c r="C14" s="1152">
        <f>IF(ISNUMBER(
   IF(J_V="SI",(Datos!J14-Datos!T14)/Datos!T14,(Datos!J14+Datos!Z14-(Datos!T14+Datos!AH14))/(Datos!T14+Datos!AH14))
     ),IF(J_V="SI",(Datos!J14-Datos!T14)/Datos!T14,(Datos!J14+Datos!Z14-(Datos!T14+Datos!AH14))/(Datos!T14+Datos!AH14))," - ")</f>
        <v>-6.0810810810810814E-2</v>
      </c>
      <c r="D14" s="1152">
        <f>IF(ISNUMBER(
   IF(J_V="SI",(Datos!K14-Datos!U14)/Datos!U14,(Datos!K14+Datos!AA14-(Datos!U14+Datos!AI14))/(Datos!U14+Datos!AI14))
     ),IF(J_V="SI",(Datos!K14-Datos!U14)/Datos!U14,(Datos!K14+Datos!AA14-(Datos!U14+Datos!AI14))/(Datos!U14+Datos!AI14))," - ")</f>
        <v>0.52830188679245282</v>
      </c>
      <c r="E14" s="1152">
        <f>IF(ISNUMBER(
   IF(J_V="SI",(Datos!L14-Datos!V14)/Datos!V14,(Datos!L14+Datos!AB14-(Datos!V14+Datos!AJ14))/(Datos!V14+Datos!AJ14))
     ),IF(J_V="SI",(Datos!L14-Datos!V14)/Datos!V14,(Datos!L14+Datos!AB14-(Datos!V14+Datos!AJ14))/(Datos!V14+Datos!AJ14))," - ")</f>
        <v>-0.29013539651837522</v>
      </c>
      <c r="F14" s="1153">
        <f>IF(ISNUMBER((Datos!M14-Datos!W14)/Datos!W14),(Datos!M14-Datos!W14)/Datos!W14," - ")</f>
        <v>0.3</v>
      </c>
      <c r="G14" s="1154">
        <f>IF(ISNUMBER((Datos!N14-Datos!X14)/Datos!X14),(Datos!N14-Datos!X14)/Datos!X14," - ")</f>
        <v>1.5384615384615385</v>
      </c>
      <c r="H14" s="1154">
        <f>IF(ISNUMBER(((NºAsuntos!G14/NºAsuntos!E14)-Datos!BD14)/Datos!BD14),((NºAsuntos!G14/NºAsuntos!E14)-Datos!BD14)/Datos!BD14," - ")</f>
        <v>0.62725668521786349</v>
      </c>
      <c r="I14" s="1154">
        <f>IF(ISNUMBER(((NºAsuntos!I14/NºAsuntos!G14)-Datos!BE14)/Datos!BE14),((NºAsuntos!I14/NºAsuntos!G14)-Datos!BE14)/Datos!BE14," - ")</f>
        <v>-0.53552069154906035</v>
      </c>
      <c r="J14" s="1154">
        <f>IF(ISNUMBER((('Resol  Asuntos'!D14/NºAsuntos!G14)-Datos!BF14)/Datos!BF14),(('Resol  Asuntos'!D14/NºAsuntos!G14)-Datos!BF14)/Datos!BF14," - ")</f>
        <v>0.26017375400091441</v>
      </c>
      <c r="K14" s="1154">
        <f>IF(ISNUMBER((((NºAsuntos!C14+NºAsuntos!E14)/NºAsuntos!G14)-Datos!BG14)/Datos!BG14),(((NºAsuntos!C14+NºAsuntos!E14)/NºAsuntos!G14)-Datos!BG14)/Datos!BG14," - ")</f>
        <v>-0.4625220458553792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1.6949152542372881E-2</v>
      </c>
      <c r="C17" s="515">
        <f>IF(ISNUMBER(
   IF(D_I="SI",(Datos!J17-Datos!T17)/Datos!T17,(Datos!J17+Datos!AD17-(Datos!T17+Datos!AL17))/(Datos!T17+Datos!AL17))
     ),IF(D_I="SI",(Datos!J17-Datos!T17)/Datos!T17,(Datos!J17+Datos!AD17-(Datos!T17+Datos!AL17))/(Datos!T17+Datos!AL17))," - ")</f>
        <v>-0.18633540372670807</v>
      </c>
      <c r="D17" s="515">
        <f>IF(ISNUMBER(
   IF(D_I="SI",(Datos!K17-Datos!U17)/Datos!U17,(Datos!K17+Datos!AE17-(Datos!U17+Datos!AM17))/(Datos!U17+Datos!AM17))
     ),IF(D_I="SI",(Datos!K17-Datos!U17)/Datos!U17,(Datos!K17+Datos!AE17-(Datos!U17+Datos!AM17))/(Datos!U17+Datos!AM17))," - ")</f>
        <v>-0.28662420382165604</v>
      </c>
      <c r="E17" s="515">
        <f>IF(ISNUMBER(
   IF(D_I="SI",(Datos!L17-Datos!V17)/Datos!V17,(Datos!L17+Datos!AF17-(Datos!V17+Datos!AN17))/(Datos!V17+Datos!AN17))
     ),IF(D_I="SI",(Datos!L17-Datos!V17)/Datos!V17,(Datos!L17+Datos!AF17-(Datos!V17+Datos!AN17))/(Datos!V17+Datos!AN17))," - ")</f>
        <v>0.13934426229508196</v>
      </c>
      <c r="F17" s="515">
        <f>IF(ISNUMBER((Datos!M17-Datos!W17)/Datos!W17),(Datos!M17-Datos!W17)/Datos!W17," - ")</f>
        <v>-0.4</v>
      </c>
      <c r="G17" s="516">
        <f>IF(ISNUMBER((Datos!N17-Datos!X17)/Datos!X17),(Datos!N17-Datos!X17)/Datos!X17," - ")</f>
        <v>-0.29113924050632911</v>
      </c>
      <c r="H17" s="514">
        <f>IF(ISNUMBER(((NºAsuntos!G17/NºAsuntos!E17)-Datos!BD17)/Datos!BD17),((NºAsuntos!G17/NºAsuntos!E17)-Datos!BD17)/Datos!BD17," - ")</f>
        <v>-0.12325570088005054</v>
      </c>
      <c r="I17" s="515">
        <f>IF(ISNUMBER(((NºAsuntos!I17/NºAsuntos!G17)-Datos!BE17)/Datos!BE17),((NºAsuntos!I17/NºAsuntos!G17)-Datos!BE17)/Datos!BE17," - ")</f>
        <v>0.59711651053864168</v>
      </c>
      <c r="J17" s="521">
        <f>IF(ISNUMBER((('Resol  Asuntos'!D17/NºAsuntos!G17)-Datos!BF17)/Datos!BF17),(('Resol  Asuntos'!D17/NºAsuntos!G17)-Datos!BF17)/Datos!BF17," - ")</f>
        <v>-0.15892857142857147</v>
      </c>
      <c r="K17" s="522">
        <f>IF(ISNUMBER((((NºAsuntos!C17+NºAsuntos!E17)/NºAsuntos!G17)-Datos!BG17)/Datos!BG17),(((NºAsuntos!C17+NºAsuntos!E17)/NºAsuntos!G17)-Datos!BG17)/Datos!BG17," - ")</f>
        <v>0.26110471070148478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-0.88888888888888884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v>
      </c>
      <c r="E18" s="515">
        <f>IF(ISNUMBER(
   IF(D_I="SI",(Datos!L18-Datos!V18)/Datos!V18,(Datos!L18+Datos!AF18-(Datos!V18+Datos!AN18))/(Datos!V18+Datos!AN18))
     ),IF(D_I="SI",(Datos!L18-Datos!V18)/Datos!V18,(Datos!L18+Datos!AF18-(Datos!V18+Datos!AN18))/(Datos!V18+Datos!AN18))," - ")</f>
        <v>-0.7</v>
      </c>
      <c r="F18" s="515">
        <f>IF(ISNUMBER((Datos!M18-Datos!W18)/Datos!W18),(Datos!M18-Datos!W18)/Datos!W18," - ")</f>
        <v>-0.75</v>
      </c>
      <c r="G18" s="516">
        <f>IF(ISNUMBER((Datos!N18-Datos!X18)/Datos!X18),(Datos!N18-Datos!X18)/Datos!X18," - ")</f>
        <v>0.8</v>
      </c>
      <c r="H18" s="514">
        <f>IF(ISNUMBER(((NºAsuntos!G18/NºAsuntos!E18)-Datos!BD18)/Datos!BD18),((NºAsuntos!G18/NºAsuntos!E18)-Datos!BD18)/Datos!BD18," - ")</f>
        <v>-9.9999999999999908E-2</v>
      </c>
      <c r="I18" s="515">
        <f>IF(ISNUMBER(((NºAsuntos!I18/NºAsuntos!G18)-Datos!BE18)/Datos!BE18),((NºAsuntos!I18/NºAsuntos!G18)-Datos!BE18)/Datos!BE18," - ")</f>
        <v>-0.66666666666666674</v>
      </c>
      <c r="J18" s="521">
        <f>IF(ISNUMBER((('Resol  Asuntos'!D18/NºAsuntos!G18)-Datos!BF18)/Datos!BF18),(('Resol  Asuntos'!D18/NºAsuntos!G18)-Datos!BF18)/Datos!BF18," - ")</f>
        <v>-0.72222222222222221</v>
      </c>
      <c r="K18" s="522">
        <f>IF(ISNUMBER((((NºAsuntos!C18+NºAsuntos!E18)/NºAsuntos!G18)-Datos!BG18)/Datos!BG18),(((NºAsuntos!C18+NºAsuntos!E18)/NºAsuntos!G18)-Datos!BG18)/Datos!BG18," - ")</f>
        <v>-0.33333333333333337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-4.7244094488188976E-2</v>
      </c>
      <c r="C23" s="1152">
        <f>IF(ISNUMBER(
   IF(Criterios!B14="SI",(Datos!J23-Datos!T23)/Datos!T23,(Datos!J23+Datos!AD23-(Datos!T23+Datos!AL23))/(Datos!T23+Datos!AL23))
     ),IF(Criterios!B14="SI",(Datos!J23-Datos!T23)/Datos!T23,(Datos!J23+Datos!AD23-(Datos!T23+Datos!AL23))/(Datos!T23+Datos!AL23))," - ")</f>
        <v>-0.1744186046511628</v>
      </c>
      <c r="D23" s="1152">
        <f>IF(ISNUMBER(
   IF(Criterios!B14="SI",(Datos!K23-Datos!U23)/Datos!U23,(Datos!K23+Datos!AE23-(Datos!U23+Datos!AM23))/(Datos!U23+Datos!AM23))
     ),IF(Criterios!B14="SI",(Datos!K23-Datos!U23)/Datos!U23,(Datos!K23+Datos!AE23-(Datos!U23+Datos!AM23))/(Datos!U23+Datos!AM23))," - ")</f>
        <v>-0.27544910179640719</v>
      </c>
      <c r="E23" s="1152">
        <f>IF(ISNUMBER(
   IF(Criterios!B14="SI",(Datos!L23-Datos!V23)/Datos!V23,(Datos!L23+Datos!AF23-(Datos!V23+Datos!AN23))/(Datos!V23+Datos!AN23))
     ),IF(Criterios!B14="SI",(Datos!L23-Datos!V23)/Datos!V23,(Datos!L23+Datos!AF23-(Datos!V23+Datos!AN23))/(Datos!V23+Datos!AN23))," - ")</f>
        <v>7.575757575757576E-2</v>
      </c>
      <c r="F23" s="1153">
        <f>IF(ISNUMBER((Datos!M23-Datos!W23)/Datos!W23),(Datos!M23-Datos!W23)/Datos!W23," - ")</f>
        <v>-0.43181818181818182</v>
      </c>
      <c r="G23" s="1154">
        <f>IF(ISNUMBER((Datos!N23-Datos!X23)/Datos!X23),(Datos!N23-Datos!X23)/Datos!X23," - ")</f>
        <v>-0.22619047619047619</v>
      </c>
      <c r="H23" s="1154">
        <f>IF(ISNUMBER(((NºAsuntos!G23/NºAsuntos!E23)-Datos!BD23)/Datos!BD23),((NºAsuntos!G23/NºAsuntos!E23)-Datos!BD23)/Datos!BD23," - ")</f>
        <v>-0.1223749683731129</v>
      </c>
      <c r="I23" s="1154">
        <f>IF(ISNUMBER(((NºAsuntos!I23/NºAsuntos!G23)-Datos!BE23)/Datos!BE23),((NºAsuntos!I23/NºAsuntos!G23)-Datos!BE23)/Datos!BE23," - ")</f>
        <v>0.48472326571500135</v>
      </c>
      <c r="J23" s="1154">
        <f>IF(ISNUMBER((('Resol  Asuntos'!D23/NºAsuntos!G23)-Datos!BF23)/Datos!BF23),(('Resol  Asuntos'!D23/NºAsuntos!G23)-Datos!BF23)/Datos!BF23," - ")</f>
        <v>-0.21581517655897825</v>
      </c>
      <c r="K23" s="1154">
        <f>IF(ISNUMBER((((NºAsuntos!C23+NºAsuntos!E23)/NºAsuntos!G23)-Datos!BG23)/Datos!BG23),(((NºAsuntos!C23+NºAsuntos!E23)/NºAsuntos!G23)-Datos!BG23)/Datos!BG23," - ")</f>
        <v>0.21399154205478321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-0.1797752808988764</v>
      </c>
      <c r="C31" s="1092">
        <f>IF(ISNUMBER(
   IF(J_V="SI",(Datos!J31-Datos!T31)/Datos!T31,(Datos!J31+Datos!Z31-(Datos!T31+Datos!AH31))/(Datos!T31+Datos!AH31))
     ),IF(J_V="SI",(Datos!J31-Datos!T31)/Datos!T31,(Datos!J31+Datos!Z31-(Datos!T31+Datos!AH31))/(Datos!T31+Datos!AH31))," - ")</f>
        <v>-0.121875</v>
      </c>
      <c r="D31" s="1092">
        <f>IF(ISNUMBER(
   IF(J_V="SI",(Datos!K31-Datos!U31)/Datos!U31,(Datos!K31+Datos!AA31-(Datos!U31+Datos!AI31))/(Datos!U31+Datos!AI31))
     ),IF(J_V="SI",(Datos!K31-Datos!U31)/Datos!U31,(Datos!K31+Datos!AA31-(Datos!U31+Datos!AI31))/(Datos!U31+Datos!AI31))," - ")</f>
        <v>3.6630036630036632E-2</v>
      </c>
      <c r="E31" s="1092">
        <f>IF(ISNUMBER(
   IF(J_V="SI",(Datos!L31-Datos!V31)/Datos!V31,(Datos!L31+Datos!AB31-(Datos!V31+Datos!AJ31))/(Datos!V31+Datos!AJ31))
     ),IF(J_V="SI",(Datos!L31-Datos!V31)/Datos!V31,(Datos!L31+Datos!AB31-(Datos!V31+Datos!AJ31))/(Datos!V31+Datos!AJ31))," - ")</f>
        <v>-0.21571648690292758</v>
      </c>
      <c r="F31" s="1093">
        <f>IF(ISNUMBER((Datos!M31-Datos!W31)/Datos!W31),(Datos!M31-Datos!W31)/Datos!W31," - ")</f>
        <v>-8.3333333333333329E-2</v>
      </c>
      <c r="G31" s="1094">
        <f>IF(ISNUMBER((Datos!N31-Datos!X31)/Datos!X31),(Datos!N31-Datos!X31)/Datos!X31," - ")</f>
        <v>0.19090909090909092</v>
      </c>
      <c r="H31" s="1095">
        <f>IF(ISNUMBER((Tasas!B31-Datos!BD31)/Datos!BD31),(Tasas!B31-Datos!BD31)/Datos!BD31," - ")</f>
        <v>0.18050395630466798</v>
      </c>
      <c r="I31" s="1096">
        <f>IF(ISNUMBER((Tasas!C31-Datos!BE31)/Datos!BE31),(Tasas!C31-Datos!BE31)/Datos!BE31," - ")</f>
        <v>-0.24342968524558037</v>
      </c>
      <c r="J31" s="1097">
        <f>IF(ISNUMBER((Tasas!D31-Datos!BF31)/Datos!BF31),(Tasas!D31-Datos!BF31)/Datos!BF31," - ")</f>
        <v>4.6185238640322382E-2</v>
      </c>
      <c r="K31" s="1097">
        <f>IF(ISNUMBER((Tasas!E31-Datos!BG31)/Datos!BG31),(Tasas!E31-Datos!BG31)/Datos!BG31," - ")</f>
        <v>-0.18980473565682046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6K1UTq/RductURwVUZLid4KZFyiaWlkCDZyh2glwjPOqPeW7HMDDqlcl6Ph3osvTDDLJDHSTWGVFEB0rGe80w==" saltValue="mcV0nwmcHMFPdt37iuhG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MUROS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1.1654676258992807</v>
      </c>
      <c r="C12" s="498">
        <f>IF(ISNUMBER(NºAsuntos!I12/NºAsuntos!G12),NºAsuntos!I12/NºAsuntos!G12," - ")</f>
        <v>2.2530864197530862</v>
      </c>
      <c r="D12" s="499">
        <f>IF(ISNUMBER('Resol  Asuntos'!D12/NºAsuntos!G12),'Resol  Asuntos'!D12/NºAsuntos!G12," - ")</f>
        <v>0.32098765432098764</v>
      </c>
      <c r="E12" s="500">
        <f>IF(ISNUMBER((NºAsuntos!C12+NºAsuntos!E12)/NºAsuntos!G12),(NºAsuntos!C12+NºAsuntos!E12)/NºAsuntos!G12," - ")</f>
        <v>3.2530864197530862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1.1654676258992807</v>
      </c>
      <c r="C14" s="1156">
        <f>IF(ISNUMBER(NºAsuntos!I14/NºAsuntos!G14),NºAsuntos!I14/NºAsuntos!G14," - ")</f>
        <v>2.2654320987654319</v>
      </c>
      <c r="D14" s="1157">
        <f>IF(ISNUMBER('Resol  Asuntos'!D14/NºAsuntos!G14),'Resol  Asuntos'!D14/NºAsuntos!G14," - ")</f>
        <v>0.32098765432098764</v>
      </c>
      <c r="E14" s="1158">
        <f>IF(ISNUMBER((NºAsuntos!C14+NºAsuntos!E14)/NºAsuntos!G14),(NºAsuntos!C14+NºAsuntos!E14)/NºAsuntos!G14," - ")</f>
        <v>3.2654320987654319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0.85496183206106868</v>
      </c>
      <c r="C17" s="498">
        <f>IF(ISNUMBER(NºAsuntos!I17/NºAsuntos!G17),NºAsuntos!I17/NºAsuntos!G17," - ")</f>
        <v>1.2410714285714286</v>
      </c>
      <c r="D17" s="499">
        <f>IF(ISNUMBER('Resol  Asuntos'!D17/NºAsuntos!G17),'Resol  Asuntos'!D17/NºAsuntos!G17," - ")</f>
        <v>0.21428571428571427</v>
      </c>
      <c r="E17" s="500">
        <f>IF(ISNUMBER((NºAsuntos!C17+NºAsuntos!E17)/NºAsuntos!G17),(NºAsuntos!C17+NºAsuntos!E17)/NºAsuntos!G17," - ")</f>
        <v>2.2410714285714284</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0.33333333333333331</v>
      </c>
      <c r="D18" s="499">
        <f>IF(ISNUMBER('Resol  Asuntos'!D18/NºAsuntos!G18),'Resol  Asuntos'!D18/NºAsuntos!G18," - ")</f>
        <v>0.1111111111111111</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0.852112676056338</v>
      </c>
      <c r="C23" s="1156">
        <f>IF(ISNUMBER(NºAsuntos!I23/NºAsuntos!G23),NºAsuntos!I23/NºAsuntos!G23," - ")</f>
        <v>1.1735537190082646</v>
      </c>
      <c r="D23" s="1159">
        <f>IF(ISNUMBER('Resol  Asuntos'!D23/NºAsuntos!G23),'Resol  Asuntos'!D23/NºAsuntos!G23," - ")</f>
        <v>0.20661157024793389</v>
      </c>
      <c r="E23" s="1158">
        <f>IF(ISNUMBER((NºAsuntos!C23+NºAsuntos!E23)/NºAsuntos!G23),(NºAsuntos!C23+NºAsuntos!E23)/NºAsuntos!G23," - ")</f>
        <v>2.1735537190082646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1.0071174377224199</v>
      </c>
      <c r="C31" s="1099">
        <f>IF(ISNUMBER(NºAsuntos!I31/NºAsuntos!G31),NºAsuntos!I31/NºAsuntos!G31," - ")</f>
        <v>1.7985865724381624</v>
      </c>
      <c r="D31" s="1100">
        <f>IF(ISNUMBER('Resol  Asuntos'!D31/NºAsuntos!G31),'Resol  Asuntos'!D31/NºAsuntos!G31," - ")</f>
        <v>0.27208480565371024</v>
      </c>
      <c r="E31" s="1101">
        <f>IF(ISNUMBER((NºAsuntos!C31+NºAsuntos!E31)/NºAsuntos!G31),(NºAsuntos!C31+NºAsuntos!E31)/NºAsuntos!G31," - ")</f>
        <v>2.7985865724381624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pZT+O940xR8DbJSaAPWPFO9NdLYJRWCX9aLibN82PLXvuTLwC9mt5vDorDMPEgMOrjbVR4YhPlb35rakNylkQ==" saltValue="XMifBo3UV1Z+cFRoZTKx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MUROS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1.1654676258992807</v>
      </c>
      <c r="AM12" s="284">
        <f>IF(ISNUMBER(((NºAsuntos!I12/NºAsuntos!G12)*11)/factor_trimestre),((NºAsuntos!I12/NºAsuntos!G12)*11)/factor_trimestre," - ")</f>
        <v>6.7592592592592595</v>
      </c>
      <c r="AN12" s="267">
        <f>IF(ISNUMBER('Resol  Asuntos'!D12/NºAsuntos!G12),'Resol  Asuntos'!D12/NºAsuntos!G12," - ")</f>
        <v>0.32098765432098764</v>
      </c>
      <c r="AO12" s="268">
        <f>IF(ISNUMBER((NºAsuntos!C12+NºAsuntos!E12)/NºAsuntos!G12),(NºAsuntos!C12+NºAsuntos!E12)/NºAsuntos!G12," - ")</f>
        <v>3.2530864197530862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v>
      </c>
      <c r="Y14" s="1165">
        <f t="shared" si="6"/>
        <v>14</v>
      </c>
      <c r="Z14" s="1165">
        <f t="shared" si="6"/>
        <v>0</v>
      </c>
      <c r="AA14" s="1165">
        <f t="shared" si="6"/>
        <v>2</v>
      </c>
      <c r="AB14" s="1165">
        <f t="shared" si="6"/>
        <v>342</v>
      </c>
      <c r="AC14" s="1165">
        <f t="shared" si="6"/>
        <v>2</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1.1654676258992807</v>
      </c>
      <c r="AM14" s="1171">
        <f>IF(ISNUMBER(((NºAsuntos!I14/NºAsuntos!G14)*11)/factor_trimestre),((NºAsuntos!I14/NºAsuntos!G14)*11)/factor_trimestre," - ")</f>
        <v>6.7962962962962967</v>
      </c>
      <c r="AN14" s="1172">
        <f>IF(ISNUMBER('Resol  Asuntos'!D14/NºAsuntos!G14),'Resol  Asuntos'!D14/NºAsuntos!G14," - ")</f>
        <v>0.32098765432098764</v>
      </c>
      <c r="AO14" s="1173">
        <f>IF(ISNUMBER((NºAsuntos!C14+NºAsuntos!E14)/NºAsuntos!G14),(NºAsuntos!C14+NºAsuntos!E14)/NºAsuntos!G14," - ")</f>
        <v>3.2654320987654319</v>
      </c>
      <c r="AP14" s="1174" t="str">
        <f t="shared" si="2"/>
        <v xml:space="preserve"> - </v>
      </c>
      <c r="AQ14" s="1174">
        <f>IF(ISNUMBER((H14-W14+K14)/(F14)),(H14-W14+K14)/(F14)," - ")</f>
        <v>0</v>
      </c>
      <c r="AR14" s="1175">
        <f>IF(ISNUMBER((Datos!P14-Datos!Q14)/(Datos!R14-Datos!P14+Datos!Q14)),(Datos!P14-Datos!Q14)/(Datos!R14-Datos!P14+Datos!Q14)," - ")</f>
        <v>2.3952095808383235E-2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120</v>
      </c>
      <c r="G17" s="373">
        <f>IF(ISNUMBER(IF(D_I="SI",Datos!I17,Datos!I17+Datos!AC17)),IF(D_I="SI",Datos!I17,Datos!I17+Datos!AC17)," - ")</f>
        <v>120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112</v>
      </c>
      <c r="X17" s="240">
        <f>IF(ISNUMBER(Datos!Q17),Datos!Q17," - ")</f>
        <v>3</v>
      </c>
      <c r="Y17" s="374">
        <f t="shared" ref="Y17:Y22" si="9">SUM(W17:X17)</f>
        <v>115</v>
      </c>
      <c r="Z17" s="375" t="str">
        <f>IF(ISNUMBER(Datos!CC17),Datos!CC17," - ")</f>
        <v xml:space="preserve"> - </v>
      </c>
      <c r="AA17" s="372">
        <f>IF(ISNUMBER(IF(D_I="SI",Datos!L17,Datos!L17+Datos!AF17)),IF(D_I="SI",Datos!L17,Datos!L17+Datos!AF17)," - ")</f>
        <v>139</v>
      </c>
      <c r="AB17" s="374">
        <f>IF(ISNUMBER(Datos!R17),Datos!R17," - ")</f>
        <v>8</v>
      </c>
      <c r="AC17" s="374">
        <f t="shared" si="8"/>
        <v>147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0.85496183206106868</v>
      </c>
      <c r="AM17" s="284">
        <f>IF(ISNUMBER(((NºAsuntos!I17/NºAsuntos!G17)*11)/factor_trimestre),((NºAsuntos!I17/NºAsuntos!G17)*11)/factor_trimestre," - ")</f>
        <v>3.723214285714286</v>
      </c>
      <c r="AN17" s="267">
        <f>IF(ISNUMBER('Resol  Asuntos'!D17/NºAsuntos!G17),'Resol  Asuntos'!D17/NºAsuntos!G17," - ")</f>
        <v>0.21428571428571427</v>
      </c>
      <c r="AO17" s="268">
        <f>IF(ISNUMBER((NºAsuntos!C17+NºAsuntos!E17)/NºAsuntos!G17),(NºAsuntos!C17+NºAsuntos!E17)/NºAsuntos!G17," - ")</f>
        <v>2.2410714285714284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1</v>
      </c>
      <c r="AN18" s="267">
        <f>IF(ISNUMBER('Resol  Asuntos'!D18/NºAsuntos!G18),'Resol  Asuntos'!D18/NºAsuntos!G18," - ")</f>
        <v>0.1111111111111111</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120</v>
      </c>
      <c r="G23" s="1163">
        <f>SUBTOTAL(9,G16:G22)</f>
        <v>121</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v>
      </c>
      <c r="X23" s="1164">
        <f t="shared" si="14"/>
        <v>3</v>
      </c>
      <c r="Y23" s="1165">
        <f t="shared" si="14"/>
        <v>124</v>
      </c>
      <c r="Z23" s="1165">
        <f t="shared" si="14"/>
        <v>0</v>
      </c>
      <c r="AA23" s="1165">
        <f t="shared" si="14"/>
        <v>142</v>
      </c>
      <c r="AB23" s="1165">
        <f t="shared" si="14"/>
        <v>8</v>
      </c>
      <c r="AC23" s="1165">
        <f t="shared" si="14"/>
        <v>150</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0.852112676056338</v>
      </c>
      <c r="AM23" s="1171">
        <f>IF(ISNUMBER(((NºAsuntos!I23/NºAsuntos!G23)*11)/factor_trimestre),((NºAsuntos!I23/NºAsuntos!G23)*11)/factor_trimestre," - ")</f>
        <v>3.5206611570247937</v>
      </c>
      <c r="AN23" s="1172">
        <f>IF(ISNUMBER('Resol  Asuntos'!D23/NºAsuntos!G23),'Resol  Asuntos'!D23/NºAsuntos!G23," - ")</f>
        <v>0.20661157024793389</v>
      </c>
      <c r="AO23" s="1173">
        <f>IF(ISNUMBER((NºAsuntos!C23+NºAsuntos!E23)/NºAsuntos!G23),(NºAsuntos!C23+NºAsuntos!E23)/NºAsuntos!G23," - ")</f>
        <v>2.1735537190082646</v>
      </c>
      <c r="AP23" s="1174" t="str">
        <f t="shared" si="2"/>
        <v xml:space="preserve"> - </v>
      </c>
      <c r="AQ23" s="1174">
        <f>IF(ISNUMBER((H23-W23+K23)/(F23)),(H23-W23+K23)/(F23)," - ")</f>
        <v>-1.0083333333333333</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122</v>
      </c>
      <c r="G31" s="1118">
        <f t="shared" si="20"/>
        <v>123</v>
      </c>
      <c r="H31" s="1117">
        <f t="shared" si="20"/>
        <v>0</v>
      </c>
      <c r="I31" s="1119">
        <f t="shared" si="20"/>
        <v>0</v>
      </c>
      <c r="J31" s="1119">
        <f t="shared" si="20"/>
        <v>0</v>
      </c>
      <c r="K31" s="1180">
        <f t="shared" si="20"/>
        <v>0</v>
      </c>
      <c r="L31" s="1119">
        <f t="shared" si="20"/>
        <v>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v>
      </c>
      <c r="X31" s="1118">
        <f t="shared" si="21"/>
        <v>17</v>
      </c>
      <c r="Y31" s="1125">
        <f t="shared" si="21"/>
        <v>138</v>
      </c>
      <c r="Z31" s="1125">
        <f t="shared" si="21"/>
        <v>0</v>
      </c>
      <c r="AA31" s="1125">
        <f t="shared" si="21"/>
        <v>144</v>
      </c>
      <c r="AB31" s="1125">
        <f t="shared" si="21"/>
        <v>350</v>
      </c>
      <c r="AC31" s="1125">
        <f t="shared" si="21"/>
        <v>152</v>
      </c>
      <c r="AD31" s="1125">
        <f t="shared" si="21"/>
        <v>0</v>
      </c>
      <c r="AE31" s="1127">
        <f t="shared" si="21"/>
        <v>0</v>
      </c>
      <c r="AF31" s="1128">
        <f t="shared" si="21"/>
        <v>0</v>
      </c>
      <c r="AG31" s="1129">
        <f t="shared" si="21"/>
        <v>0</v>
      </c>
      <c r="AH31" s="1127">
        <f t="shared" si="21"/>
        <v>0</v>
      </c>
      <c r="AI31" s="1117">
        <f t="shared" si="21"/>
        <v>77</v>
      </c>
      <c r="AJ31" s="1117">
        <f t="shared" si="21"/>
        <v>0</v>
      </c>
      <c r="AK31" s="1127">
        <f t="shared" si="21"/>
        <v>0</v>
      </c>
      <c r="AL31" s="1183">
        <f>IF(ISNUMBER(NºAsuntos!G31/NºAsuntos!E31),NºAsuntos!G31/NºAsuntos!E31," - ")</f>
        <v>1.0071174377224199</v>
      </c>
      <c r="AM31" s="1184">
        <f>IF(ISNUMBER(((NºAsuntos!I31/NºAsuntos!G31)*11)/factor_trimestre),((NºAsuntos!I31/NºAsuntos!G31)*11)/factor_trimestre," - ")</f>
        <v>5.3957597173144878</v>
      </c>
      <c r="AN31" s="1184">
        <f>IF(ISNUMBER('Resol  Asuntos'!D31/NºAsuntos!G31),'Resol  Asuntos'!D31/NºAsuntos!G31," - ")</f>
        <v>0.27208480565371024</v>
      </c>
      <c r="AO31" s="1185">
        <f>IF(ISNUMBER((NºAsuntos!C31+NºAsuntos!E31)/NºAsuntos!G31),(NºAsuntos!C31+NºAsuntos!E31)/NºAsuntos!G31," - ")</f>
        <v>2.7985865724381624</v>
      </c>
      <c r="AP31" s="1186" t="str">
        <f t="shared" si="2"/>
        <v xml:space="preserve"> - </v>
      </c>
      <c r="AQ31" s="1187">
        <f>IF(OR(ISNUMBER(FIND("01",Criterios!A8,1)),ISNUMBER(FIND("02",Criterios!A8,1)),ISNUMBER(FIND("03",Criterios!A8,1)),ISNUMBER(FIND("04",Criterios!A8,1))),(I31-W31+K31)/(F31-K31),(H31-W31+K31)/(F31-K31))</f>
        <v>-0.99180327868852458</v>
      </c>
      <c r="AR31" s="1188">
        <f>IF(ISNUMBER((Datos!P31-Datos!Q31)/(Datos!R31-Datos!P31+Datos!Q31)),(Datos!P31-Datos!Q31)/(Datos!R31-Datos!P31+Datos!Q31)," - ")</f>
        <v>2.6392961876832845E-2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61.457844630825342</v>
      </c>
      <c r="G33" s="277">
        <f>IF(ISNUMBER(STDEV(G8:G30)),STDEV(G8:G30),"-")</f>
        <v>58.316460144709779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56.124436575812332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22.820729924472495</v>
      </c>
      <c r="AJ33" s="276">
        <f t="shared" si="25"/>
        <v>0</v>
      </c>
      <c r="AK33" s="278">
        <f t="shared" si="25"/>
        <v>0</v>
      </c>
      <c r="AL33" s="273">
        <f t="shared" si="25"/>
        <v>0.17789567166000361</v>
      </c>
      <c r="AM33" s="274">
        <f t="shared" si="25"/>
        <v>2.4541582218237825</v>
      </c>
      <c r="AN33" s="274">
        <f t="shared" si="25"/>
        <v>8.8559285490597398E-2</v>
      </c>
      <c r="AO33" s="275">
        <f t="shared" si="25"/>
        <v>0.81805274060792754</v>
      </c>
      <c r="AP33" s="317" t="str">
        <f t="shared" si="25"/>
        <v>-</v>
      </c>
      <c r="AQ33" s="318">
        <f t="shared" si="25"/>
        <v>0.71299933769643542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xQQnHHisGjLeLqS4/8eRZQ8+DF9S1HRyyhtH3iWsu5s0d93wnhTB7AzYYQxtDSx4GzXAo0zteN0dvjdnanFNA==" saltValue="HUNcFzMxtzBB/fxsVCaa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MUROS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t="str">
        <f>IF(ISNUMBER((Datos!J10-Datos!T10)/Datos!T10),(Datos!J10-Datos!T10)/Datos!T10," - ")</f>
        <v xml:space="preserve"> - </v>
      </c>
      <c r="F10" s="393">
        <f>IF(ISNUMBER((Datos!K10-Datos!U10)/Datos!U10),(Datos!K10-Datos!U10)/Datos!U10," - ")</f>
        <v>-1</v>
      </c>
      <c r="G10" s="394">
        <f>IF(ISNUMBER((Datos!L10-Datos!V10)/Datos!V10),(Datos!L10-Datos!V10)/Datos!V10," - ")</f>
        <v>-0.7142857142857143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-0.53612926652142334</v>
      </c>
      <c r="J12" s="394">
        <f>IF(ISNUMBER((Tasas!D12-Datos!BF12)/Datos!BF12),(Tasas!D12-Datos!BF12)/Datos!BF12," - ")</f>
        <v>0.29629629629629617</v>
      </c>
      <c r="K12" s="396">
        <f>IF(ISNUMBER((Tasas!E12-Datos!BG12)/Datos!BG12),(Tasas!E12-Datos!BG12)/Datos!BG12," - ")</f>
        <v>-0.46293384579548102</v>
      </c>
      <c r="M12" t="e">
        <f>IF(Monitorios="SI",Datos!CE12,0)</f>
        <v>#REF!</v>
      </c>
      <c r="N12" t="e">
        <f>IF(Monitorios="SI",Datos!CF12,0)</f>
        <v>#REF!</v>
      </c>
      <c r="O12" t="e">
        <f>IF(Monitorios="SI",Datos!CG12,0)</f>
        <v>#REF!</v>
      </c>
      <c r="P12" t="e">
        <f>IF(Monitorios="SI",Datos!CH12,0)</f>
        <v>#REF!</v>
      </c>
      <c r="Q12">
        <f>IF(J_V="SI",0,Datos!AG12)</f>
        <v>51</v>
      </c>
      <c r="R12">
        <f>IF(J_V="SI",0,Datos!AH12)</f>
        <v>13</v>
      </c>
      <c r="S12">
        <f>IF(J_V="SI",0,Datos!AI12)</f>
        <v>12</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v>
      </c>
      <c r="I14" s="402">
        <f>IF(ISNUMBER((Tasas!C14-Datos!BE14)/Datos!BE14),(Tasas!C14-Datos!BE14)/Datos!BE14," - ")</f>
        <v>-0.53552069154906035</v>
      </c>
      <c r="J14" s="400">
        <f>IF(ISNUMBER((Tasas!D14-Datos!BF14)/Datos!BF14),(Tasas!D14-Datos!BF14)/Datos!BF14," - ")</f>
        <v>0.26017375400091441</v>
      </c>
      <c r="K14" s="403">
        <f>IF(ISNUMBER((Tasas!E14-Datos!BG14)/Datos!BG14),(Tasas!E14-Datos!BG14)/Datos!BG14," - ")</f>
        <v>-0.4625220458553792</v>
      </c>
      <c r="M14" t="e">
        <f>IF(Monitorios="SI",Datos!CE14,0)</f>
        <v>#REF!</v>
      </c>
      <c r="N14" t="e">
        <f>IF(Monitorios="SI",Datos!CF14,0)</f>
        <v>#REF!</v>
      </c>
      <c r="O14" t="e">
        <f>IF(Monitorios="SI",Datos!CG14,0)</f>
        <v>#REF!</v>
      </c>
      <c r="P14" t="e">
        <f>IF(Monitorios="SI",Datos!CH14,0)</f>
        <v>#REF!</v>
      </c>
      <c r="Q14">
        <f>IF(J_V="SI",0,Datos!AG14)</f>
        <v>51</v>
      </c>
      <c r="R14">
        <f>IF(J_V="SI",0,Datos!AH14)</f>
        <v>13</v>
      </c>
      <c r="S14">
        <f>IF(J_V="SI",0,Datos!AI14)</f>
        <v>12</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1.6949152542372881E-2</v>
      </c>
      <c r="E17" s="393">
        <f>IF(ISNUMBER(
   IF(D_I="SI",(Datos!J17-Datos!T17)/Datos!T17,(Datos!J17+Datos!AD17-(Datos!T17+Datos!AL17))/(Datos!T17+Datos!AL17))
     ),IF(D_I="SI",(Datos!J17-Datos!T17)/Datos!T17,(Datos!J17+Datos!AD17-(Datos!T17+Datos!AL17))/(Datos!T17+Datos!AL17))," - ")</f>
        <v>-0.18633540372670807</v>
      </c>
      <c r="F17" s="393">
        <f>IF(ISNUMBER(
   IF(D_I="SI",(Datos!K17-Datos!U17)/Datos!U17,(Datos!K17+Datos!AE17-(Datos!U17+Datos!AM17))/(Datos!U17+Datos!AM17))
     ),IF(D_I="SI",(Datos!K17-Datos!U17)/Datos!U17,(Datos!K17+Datos!AE17-(Datos!U17+Datos!AM17))/(Datos!U17+Datos!AM17))," - ")</f>
        <v>-0.28662420382165604</v>
      </c>
      <c r="G17" s="394">
        <f>IF(ISNUMBER(
   IF(D_I="SI",(Datos!L17-Datos!V17)/Datos!V17,(Datos!L17+Datos!AF17-(Datos!V17+Datos!AN17))/(Datos!V17+Datos!AN17))
     ),IF(D_I="SI",(Datos!L17-Datos!V17)/Datos!V17,(Datos!L17+Datos!AF17-(Datos!V17+Datos!AN17))/(Datos!V17+Datos!AN17))," - ")</f>
        <v>0.13934426229508196</v>
      </c>
      <c r="H17" s="244">
        <f>IF(ISNUMBER((Datos!M17-Datos!W17)/Datos!W17),(Datos!M17-Datos!W17)/Datos!W17," - ")</f>
        <v>-0.4</v>
      </c>
      <c r="I17" s="395">
        <f>IF(ISNUMBER((Tasas!C17-Datos!BE17)/Datos!BE17),(Tasas!C17-Datos!BE17)/Datos!BE17," - ")</f>
        <v>0.59711651053864168</v>
      </c>
      <c r="J17" s="394">
        <f>IF(ISNUMBER((Tasas!D17-Datos!BF17)/Datos!BF17),(Tasas!D17-Datos!BF17)/Datos!BF17," - ")</f>
        <v>-0.15892857142857147</v>
      </c>
      <c r="K17" s="396">
        <f>IF(ISNUMBER((Tasas!E17-Datos!BG17)/Datos!BG17),(Tasas!E17-Datos!BG17)/Datos!BG17," - ")</f>
        <v>0.26110471070148478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-0.88888888888888884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v>
      </c>
      <c r="G18" s="394">
        <f>IF(ISNUMBER(
   IF(D_I="SI",(Datos!L18-Datos!V18)/Datos!V18,(Datos!L18+Datos!AF18-(Datos!V18+Datos!AN18))/(Datos!V18+Datos!AN18))
     ),IF(D_I="SI",(Datos!L18-Datos!V18)/Datos!V18,(Datos!L18+Datos!AF18-(Datos!V18+Datos!AN18))/(Datos!V18+Datos!AN18))," - ")</f>
        <v>-0.7</v>
      </c>
      <c r="H18" s="244">
        <f>IF(ISNUMBER((Datos!M18-Datos!W18)/Datos!W18),(Datos!M18-Datos!W18)/Datos!W18," - ")</f>
        <v>-0.75</v>
      </c>
      <c r="I18" s="395">
        <f>IF(ISNUMBER((Tasas!C18-Datos!BE18)/Datos!BE18),(Tasas!C18-Datos!BE18)/Datos!BE18," - ")</f>
        <v>-0.66666666666666674</v>
      </c>
      <c r="J18" s="394">
        <f>IF(ISNUMBER((Tasas!D18-Datos!BF18)/Datos!BF18),(Tasas!D18-Datos!BF18)/Datos!BF18," - ")</f>
        <v>-0.72222222222222221</v>
      </c>
      <c r="K18" s="396">
        <f>IF(ISNUMBER((Tasas!E18-Datos!BG18)/Datos!BG18),(Tasas!E18-Datos!BG18)/Datos!BG18," - ")</f>
        <v>-0.33333333333333337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-4.7244094488188976E-2</v>
      </c>
      <c r="E23" s="399">
        <f>IF(ISNUMBER(
   IF(D_I="SI",(Datos!J23-Datos!T23)/Datos!T23,(Datos!J23+Datos!AD23-(Datos!T23+Datos!AL23))/(Datos!T23+Datos!AL23))
     ),IF(D_I="SI",(Datos!J23-Datos!T23)/Datos!T23,(Datos!J23+Datos!AD23-(Datos!T23+Datos!AL23))/(Datos!T23+Datos!AL23))," - ")</f>
        <v>-0.1744186046511628</v>
      </c>
      <c r="F23" s="399">
        <f>IF(ISNUMBER(
   IF(D_I="SI",(Datos!K23-Datos!U23)/Datos!U23,(Datos!K23+Datos!AE23-(Datos!U23+Datos!AM23))/(Datos!U23+Datos!AM23))
     ),IF(D_I="SI",(Datos!K23-Datos!U23)/Datos!U23,(Datos!K23+Datos!AE23-(Datos!U23+Datos!AM23))/(Datos!U23+Datos!AM23))," - ")</f>
        <v>-0.27544910179640719</v>
      </c>
      <c r="G23" s="400">
        <f>IF(ISNUMBER(
   IF(D_I="SI",(Datos!L23-Datos!V23)/Datos!V23,(Datos!L23+Datos!AF23-(Datos!V23+Datos!AN23))/(Datos!V23+Datos!AN23))
     ),IF(D_I="SI",(Datos!L23-Datos!V23)/Datos!V23,(Datos!L23+Datos!AF23-(Datos!V23+Datos!AN23))/(Datos!V23+Datos!AN23))," - ")</f>
        <v>7.575757575757576E-2</v>
      </c>
      <c r="H23" s="401">
        <f>IF(ISNUMBER((Datos!M23-Datos!W23)/Datos!W23),(Datos!M23-Datos!W23)/Datos!W23," - ")</f>
        <v>-0.43181818181818182</v>
      </c>
      <c r="I23" s="402">
        <f>IF(ISNUMBER((Tasas!C23-Datos!BE23)/Datos!BE23),(Tasas!C23-Datos!BE23)/Datos!BE23," - ")</f>
        <v>0.48472326571500135</v>
      </c>
      <c r="J23" s="400">
        <f>IF(ISNUMBER((Tasas!D23-Datos!BF23)/Datos!BF23),(Tasas!D23-Datos!BF23)/Datos!BF23," - ")</f>
        <v>-0.21581517655897825</v>
      </c>
      <c r="K23" s="403">
        <f>IF(ISNUMBER((Tasas!E23-Datos!BG23)/Datos!BG23),(Tasas!E23-Datos!BG23)/Datos!BG23," - ")</f>
        <v>0.21399154205478321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-0.1797752808988764</v>
      </c>
      <c r="E31" s="409">
        <f>IF(ISNUMBER(
   IF(J_V="SI",(Datos!J31-Datos!T31)/Datos!T31,(Datos!J31+Datos!Z31-(Datos!T31+Datos!AH31))/(Datos!T31+Datos!AH31))
     ),IF(J_V="SI",(Datos!J31-Datos!T31)/Datos!T31,(Datos!J31+Datos!Z31-(Datos!T31+Datos!AH31))/(Datos!T31+Datos!AH31))," - ")</f>
        <v>-0.121875</v>
      </c>
      <c r="F31" s="409">
        <f>IF(ISNUMBER(
   IF(J_V="SI",(Datos!K31-Datos!U31)/Datos!U31,(Datos!K31+Datos!AA31-(Datos!U31+Datos!AI31))/(Datos!U31+Datos!AI31))
     ),IF(J_V="SI",(Datos!K31-Datos!U31)/Datos!U31,(Datos!K31+Datos!AA31-(Datos!U31+Datos!AI31))/(Datos!U31+Datos!AI31))," - ")</f>
        <v>3.6630036630036632E-2</v>
      </c>
      <c r="G31" s="410">
        <f>IF(ISNUMBER(
   IF(J_V="SI",(Datos!L31-Datos!V31)/Datos!V31,(Datos!L31+Datos!AB31-(Datos!V31+Datos!AJ31))/(Datos!V31+Datos!AJ31))
     ),IF(J_V="SI",(Datos!L31-Datos!V31)/Datos!V31,(Datos!L31+Datos!AB31-(Datos!V31+Datos!AJ31))/(Datos!V31+Datos!AJ31))," - ")</f>
        <v>-0.21571648690292758</v>
      </c>
      <c r="H31" s="411">
        <f>IF(ISNUMBER((Datos!M31-Datos!W31)/Datos!W31),(Datos!M31-Datos!W31)/Datos!W31," - ")</f>
        <v>-8.3333333333333329E-2</v>
      </c>
      <c r="I31" s="408">
        <f>IF(ISNUMBER((Tasas!C31-Datos!BE31)/Datos!BE31),(Tasas!C31-Datos!BE31)/Datos!BE31," - ")</f>
        <v>-0.24342968524558037</v>
      </c>
      <c r="J31" s="409">
        <f>IF(ISNUMBER((Tasas!D31-Datos!BF31)/Datos!BF31),(Tasas!D31-Datos!BF31)/Datos!BF31," - ")</f>
        <v>4.6185238640322382E-2</v>
      </c>
      <c r="K31" s="410">
        <f>IF(ISNUMBER((Tasas!E31-Datos!BG31)/Datos!BG31),(Tasas!E31-Datos!BG31)/Datos!BG31," - ")</f>
        <v>-0.18980473565682046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0.46854351265242938</v>
      </c>
      <c r="E33" s="303">
        <f t="shared" si="1"/>
        <v>0.10431102724597309</v>
      </c>
      <c r="F33" s="303">
        <f t="shared" si="1"/>
        <v>0.39891675137585908</v>
      </c>
      <c r="G33" s="304">
        <f t="shared" si="1"/>
        <v>0.47111556370581503</v>
      </c>
      <c r="H33" s="310">
        <f t="shared" si="1"/>
        <v>0.54356462709243702</v>
      </c>
      <c r="I33" s="302">
        <f t="shared" si="1"/>
        <v>0.61724667818197287</v>
      </c>
      <c r="J33" s="303">
        <f t="shared" si="1"/>
        <v>0.41547988191443164</v>
      </c>
      <c r="K33" s="304">
        <f t="shared" si="1"/>
        <v>0.36416981432909601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7X8OXu1VSZpEsnQe0KEyF2rfFXNtlajeeulGeLJWeAw1ffSgckWOh0cApK5UeQfAfUUKRNZiiO2M954jQnPyQ==" saltValue="pYNoJhixe4TPBAz25iUu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